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04FAC70F-1212-478A-9694-11F91B26ACE0}" xr6:coauthVersionLast="47" xr6:coauthVersionMax="47" xr10:uidLastSave="{00000000-0000-0000-0000-000000000000}"/>
  <workbookProtection workbookAlgorithmName="SHA-512" workbookHashValue="QUTMYgHHBOfjKqpoi+k0vcnRqPIEWGW7FrXcmlTKnVWMtF1tsLtF9+IBIDyb5R7o1YRTHGPfTa2uGUc4EquIrA==" workbookSaltValue="fMNF8gJOUM0vIhDokH4UKQ==" workbookSpinCount="100000" lockStructure="1"/>
  <bookViews>
    <workbookView xWindow="300" yWindow="195" windowWidth="27405" windowHeight="13380" tabRatio="794"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3" i="2" l="1"/>
  <c r="AL40" i="21"/>
  <c r="Z1" i="4" a="1"/>
  <c r="AH113" i="21" a="1"/>
  <c r="AH38" i="4"/>
  <c r="AL39" i="21"/>
  <c r="AL38" i="21"/>
  <c r="AL44" i="21"/>
  <c r="AL43" i="21"/>
  <c r="AL42" i="21"/>
  <c r="AL41" i="21"/>
  <c r="AL45" i="21"/>
  <c r="E139" i="21" a="1"/>
  <c r="B139" i="21"/>
  <c r="AH107" i="21" a="1"/>
  <c r="AH108" i="21" a="1"/>
  <c r="B44" i="4" a="1"/>
  <c r="D139" i="21" l="1"/>
  <c r="M44" i="21" a="1"/>
  <c r="AH51" i="21" l="1" a="1"/>
  <c r="A20" i="38" a="1"/>
  <c r="P35" i="39" s="1"/>
  <c r="O35" i="39" s="1"/>
  <c r="E137" i="4"/>
  <c r="E138" i="4"/>
  <c r="E136" i="4"/>
  <c r="P31" i="39" a="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Z1" i="21" a="1"/>
  <c r="V76" i="21"/>
  <c r="E137" i="21"/>
  <c r="B137" i="21"/>
  <c r="B138" i="21"/>
  <c r="B138" i="4"/>
  <c r="D137" i="21"/>
  <c r="N61" i="38" l="1" a="1"/>
  <c r="T37" i="2"/>
  <c r="D138" i="4" l="1"/>
  <c r="AH55" i="21" a="1"/>
  <c r="AH54" i="21" a="1"/>
  <c r="AH53" i="21" a="1"/>
  <c r="AH52" i="21" a="1"/>
  <c r="G76" i="4"/>
  <c r="M65" i="21" l="1" a="1"/>
  <c r="E131" i="4" a="1"/>
  <c r="AH112" i="21" a="1"/>
  <c r="AH111" i="21" a="1"/>
  <c r="AH109" i="21" a="1"/>
  <c r="AH106" i="21" a="1"/>
  <c r="AH105" i="21" a="1"/>
  <c r="AH103" i="21" a="1"/>
  <c r="AH102" i="21" a="1"/>
  <c r="AH100" i="21" a="1"/>
  <c r="AH99" i="21" a="1"/>
  <c r="AH97" i="21" a="1"/>
  <c r="AH96" i="21" a="1"/>
  <c r="AH110" i="21" a="1"/>
  <c r="AH104" i="21" a="1"/>
  <c r="AH101" i="21" a="1"/>
  <c r="AH98" i="21" a="1"/>
  <c r="AH95" i="21" a="1"/>
  <c r="M52" i="21" a="1"/>
  <c r="M70" i="21" a="1"/>
  <c r="M60" i="21" a="1"/>
  <c r="AH85" i="21" l="1"/>
  <c r="E134" i="21"/>
  <c r="E136" i="21"/>
  <c r="V32" i="1" l="1"/>
  <c r="L177" i="21" l="1"/>
  <c r="L176" i="21"/>
  <c r="Z3" i="4" l="1" a="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L192" i="4"/>
  <c r="K192" i="4"/>
  <c r="J192" i="4"/>
  <c r="I192" i="4"/>
  <c r="H192" i="4"/>
  <c r="G192" i="4"/>
  <c r="F192" i="4"/>
  <c r="E192" i="4"/>
  <c r="D192" i="4"/>
  <c r="L186" i="4"/>
  <c r="K186" i="4"/>
  <c r="J186" i="4"/>
  <c r="I186" i="4"/>
  <c r="H186" i="4"/>
  <c r="G186" i="4"/>
  <c r="F186" i="4"/>
  <c r="E186" i="4"/>
  <c r="D186" i="4"/>
  <c r="L164" i="4"/>
  <c r="K164" i="4"/>
  <c r="J164" i="4"/>
  <c r="I164" i="4"/>
  <c r="H164" i="4"/>
  <c r="G164" i="4"/>
  <c r="F164" i="4"/>
  <c r="E164" i="4"/>
  <c r="D164"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AH66" i="21"/>
  <c r="AH67" i="21"/>
  <c r="AH68" i="21"/>
  <c r="AH69" i="21"/>
  <c r="AH70" i="21"/>
  <c r="AH71" i="21"/>
  <c r="AH72" i="21"/>
  <c r="AH88" i="21"/>
  <c r="AH87" i="21"/>
  <c r="AH86" i="21"/>
  <c r="AH87" i="4"/>
  <c r="E133" i="21" a="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K191" i="21" l="1"/>
  <c r="J191" i="21"/>
  <c r="I191" i="21"/>
  <c r="H191" i="21"/>
  <c r="G191" i="21"/>
  <c r="F191" i="21"/>
  <c r="E191" i="21"/>
  <c r="D191" i="21"/>
  <c r="K185" i="21"/>
  <c r="J185" i="21"/>
  <c r="I185" i="21"/>
  <c r="H185" i="21"/>
  <c r="G185" i="21"/>
  <c r="F185" i="21"/>
  <c r="E185" i="21"/>
  <c r="D185" i="21"/>
  <c r="D132" i="21" l="1"/>
  <c r="E132" i="21" s="1" a="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M39" i="21" a="1"/>
  <c r="G70" i="4" a="1"/>
  <c r="G69" i="4" a="1"/>
  <c r="G68" i="4" a="1"/>
  <c r="G67" i="4" a="1"/>
  <c r="G66" i="4" a="1"/>
  <c r="G65" i="4" a="1"/>
  <c r="B61" i="4" a="1"/>
  <c r="M78" i="21" a="1"/>
  <c r="M63" i="21" a="1"/>
  <c r="M62" i="21" a="1"/>
  <c r="M61" i="21" a="1"/>
  <c r="M59" i="21" a="1"/>
  <c r="M58" i="21" a="1"/>
  <c r="G63" i="4" a="1"/>
  <c r="G60" i="4" a="1"/>
  <c r="G56" i="4" a="1"/>
  <c r="Z93" i="4"/>
  <c r="Z92" i="4"/>
  <c r="Z44" i="4"/>
  <c r="V44" i="4"/>
  <c r="Z43" i="4"/>
  <c r="V43" i="4"/>
  <c r="M40" i="21" a="1"/>
  <c r="R56" i="4"/>
  <c r="R55" i="4"/>
  <c r="R40" i="4" a="1"/>
  <c r="G71" i="4" a="1"/>
  <c r="G49" i="4" a="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Q177" i="21"/>
  <c r="E143" i="4" a="1"/>
  <c r="A75" i="21" a="1"/>
  <c r="A72" i="21" a="1"/>
  <c r="Z3" i="21" a="1"/>
  <c r="E151" i="21" a="1"/>
  <c r="E150" i="21" a="1"/>
  <c r="B50" i="21" a="1"/>
  <c r="D151" i="21"/>
  <c r="B151" i="21"/>
  <c r="D150" i="21"/>
  <c r="B150" i="21"/>
  <c r="E143" i="21"/>
  <c r="B143" i="21"/>
  <c r="D143" i="21"/>
  <c r="D136" i="21" l="1"/>
  <c r="B136" i="21"/>
  <c r="D135" i="21"/>
  <c r="E135" i="21" s="1"/>
  <c r="B135" i="21"/>
  <c r="G90" i="21"/>
  <c r="G89" i="21"/>
  <c r="B66" i="21" a="1"/>
  <c r="B60" i="21" a="1"/>
  <c r="B59" i="21" a="1"/>
  <c r="T31" i="2" l="1" a="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D140" i="21"/>
  <c r="B140" i="21"/>
  <c r="D138" i="21"/>
  <c r="E138" i="21" s="1"/>
  <c r="B134" i="21"/>
  <c r="B132"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A73" i="21" a="1"/>
  <c r="M72" i="21"/>
  <c r="M71" i="21" a="1"/>
  <c r="A71" i="21" a="1"/>
  <c r="A70" i="21" a="1"/>
  <c r="M69" i="21" a="1"/>
  <c r="A69" i="21" a="1"/>
  <c r="M68" i="21" a="1"/>
  <c r="M67" i="21" a="1"/>
  <c r="M66" i="21" a="1"/>
  <c r="M64" i="21" a="1"/>
  <c r="M57" i="21" a="1"/>
  <c r="M56" i="21" a="1"/>
  <c r="M55" i="21" a="1"/>
  <c r="M54" i="21" a="1"/>
  <c r="M53" i="21" a="1"/>
  <c r="D51" i="21" a="1"/>
  <c r="AH50" i="21"/>
  <c r="M50" i="21" a="1"/>
  <c r="AH49" i="21"/>
  <c r="M49" i="21"/>
  <c r="AH48" i="21"/>
  <c r="M48" i="21"/>
  <c r="AH47" i="21"/>
  <c r="M47" i="21" a="1"/>
  <c r="M46" i="21" a="1"/>
  <c r="AH45" i="21" a="1"/>
  <c r="M45" i="21" a="1"/>
  <c r="AH43" i="21" a="1"/>
  <c r="M43" i="21"/>
  <c r="M42" i="21" a="1"/>
  <c r="M41" i="21" a="1"/>
  <c r="AH39" i="21"/>
  <c r="M38" i="21" a="1"/>
  <c r="X2" i="21" a="1"/>
  <c r="T35" i="2"/>
  <c r="S35" i="2" s="1"/>
  <c r="X1" i="21" a="1"/>
  <c r="G91" i="4"/>
  <c r="G90" i="4"/>
  <c r="B67" i="21" l="1"/>
  <c r="O185" i="21"/>
  <c r="O175" i="21"/>
  <c r="P180" i="21"/>
  <c r="R175" i="21"/>
  <c r="O180" i="21"/>
  <c r="P175" i="21"/>
  <c r="R180" i="21"/>
  <c r="Q180" i="21"/>
  <c r="Q35" i="2"/>
  <c r="N82" i="21" a="1"/>
  <c r="T33" i="2" l="1"/>
  <c r="T26" i="2"/>
  <c r="T14" i="2"/>
  <c r="T29" i="2"/>
  <c r="T19" i="2"/>
  <c r="T30" i="2"/>
  <c r="T24" i="2"/>
  <c r="T25" i="2"/>
  <c r="S33" i="2"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O187" i="4"/>
  <c r="O186" i="4"/>
  <c r="T27" i="2"/>
  <c r="T21" i="2"/>
  <c r="T20" i="2"/>
  <c r="T18" i="2"/>
  <c r="T16" i="2"/>
  <c r="T15" i="2"/>
  <c r="V31" i="1" a="1"/>
  <c r="V12" i="1"/>
  <c r="R182" i="4"/>
  <c r="Q182" i="4"/>
  <c r="P182" i="4"/>
  <c r="R177" i="4"/>
  <c r="P177" i="4"/>
  <c r="O177" i="4"/>
  <c r="R181" i="4"/>
  <c r="Q181" i="4"/>
  <c r="P181" i="4"/>
  <c r="R176" i="4"/>
  <c r="Q176" i="4"/>
  <c r="P176" i="4"/>
  <c r="O176" i="4"/>
  <c r="O181" i="4"/>
  <c r="O182" i="4"/>
  <c r="Q177" i="4"/>
  <c r="G89" i="4"/>
  <c r="D143" i="4"/>
  <c r="B143" i="4"/>
  <c r="E139" i="4" a="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E150" i="4" l="1" a="1"/>
  <c r="E134" i="4"/>
  <c r="E133" i="4" a="1"/>
  <c r="E132" i="4" a="1"/>
  <c r="T35" i="15" l="1"/>
  <c r="V35" i="8"/>
  <c r="S35" i="1"/>
  <c r="V35" i="1"/>
  <c r="U35" i="1" s="1"/>
  <c r="R170" i="4"/>
  <c r="R169" i="4"/>
  <c r="Q170" i="4"/>
  <c r="Q169" i="4"/>
  <c r="P170" i="4"/>
  <c r="P169" i="4"/>
  <c r="V22" i="1"/>
  <c r="V21" i="1"/>
  <c r="V16" i="1"/>
  <c r="V15" i="1"/>
  <c r="O169" i="4"/>
  <c r="O170" i="4"/>
  <c r="R164" i="4"/>
  <c r="Q164" i="4"/>
  <c r="P164" i="4"/>
  <c r="O164" i="4"/>
  <c r="R165" i="4"/>
  <c r="Q165" i="4"/>
  <c r="P165" i="4"/>
  <c r="O165" i="4"/>
  <c r="P168" i="4" l="1"/>
  <c r="Q163" i="4"/>
  <c r="Q168" i="4"/>
  <c r="O163" i="4"/>
  <c r="P163" i="4"/>
  <c r="R163" i="4"/>
  <c r="O168" i="4"/>
  <c r="R168" i="4"/>
  <c r="Q41" i="2" l="1" a="1"/>
  <c r="V20" i="8"/>
  <c r="V20" i="1"/>
  <c r="V23" i="8"/>
  <c r="V14" i="8"/>
  <c r="V30" i="8"/>
  <c r="V24" i="8"/>
  <c r="V19" i="8"/>
  <c r="V26" i="8"/>
  <c r="V25" i="8"/>
  <c r="V30" i="1"/>
  <c r="V14" i="1"/>
  <c r="V19" i="1"/>
  <c r="V25" i="1"/>
  <c r="V23" i="1"/>
  <c r="V24" i="1"/>
  <c r="V26" i="1"/>
  <c r="T40" i="2" l="1"/>
  <c r="AH60" i="4"/>
  <c r="AH57" i="4"/>
  <c r="Z91" i="4"/>
  <c r="V91" i="4"/>
  <c r="Z90" i="4"/>
  <c r="V90" i="4"/>
  <c r="Z89" i="4"/>
  <c r="V89" i="4"/>
  <c r="V87" i="4"/>
  <c r="Z86" i="4"/>
  <c r="V86" i="4"/>
  <c r="R79" i="4"/>
  <c r="R78" i="4"/>
  <c r="G75" i="4"/>
  <c r="AH61" i="4"/>
  <c r="AH59" i="4"/>
  <c r="AH58" i="4"/>
  <c r="Z42" i="4"/>
  <c r="V42" i="4"/>
  <c r="Z41" i="4"/>
  <c r="V41" i="4"/>
  <c r="Z40" i="4"/>
  <c r="V40" i="4"/>
  <c r="V38" i="4"/>
  <c r="AH42" i="4" a="1"/>
  <c r="Z124" i="4"/>
  <c r="E151" i="4" a="1"/>
  <c r="D151" i="4"/>
  <c r="B151" i="4"/>
  <c r="D150" i="4"/>
  <c r="B150" i="4"/>
  <c r="D136" i="4"/>
  <c r="B136" i="4"/>
  <c r="D135" i="4"/>
  <c r="E135" i="4" s="1"/>
  <c r="B135" i="4"/>
  <c r="D134" i="4"/>
  <c r="B134" i="4"/>
  <c r="D133" i="4"/>
  <c r="B133" i="4"/>
  <c r="D132" i="4"/>
  <c r="B132" i="4"/>
  <c r="D131" i="4"/>
  <c r="B131" i="4"/>
  <c r="E130" i="4" a="1"/>
  <c r="D130" i="4"/>
  <c r="B130" i="4"/>
  <c r="B129" i="4"/>
  <c r="A75" i="4" a="1"/>
  <c r="G74" i="4" a="1"/>
  <c r="A74" i="4"/>
  <c r="G73" i="4" a="1"/>
  <c r="A73" i="4" a="1"/>
  <c r="G72" i="4" a="1"/>
  <c r="A72" i="4" a="1"/>
  <c r="A71" i="4" a="1"/>
  <c r="A70" i="4" a="1"/>
  <c r="A69" i="4" a="1"/>
  <c r="B66" i="4" a="1"/>
  <c r="G64" i="4" a="1"/>
  <c r="B63" i="4" a="1"/>
  <c r="G62" i="4" a="1"/>
  <c r="B62" i="4" a="1"/>
  <c r="G61" i="4" a="1"/>
  <c r="B60" i="4" a="1"/>
  <c r="G59" i="4" a="1"/>
  <c r="B59" i="4" a="1"/>
  <c r="G58" i="4" a="1"/>
  <c r="B58" i="4" a="1"/>
  <c r="G57" i="4" a="1"/>
  <c r="B57" i="4" a="1"/>
  <c r="B56" i="4"/>
  <c r="G55" i="4" a="1"/>
  <c r="B55" i="4" a="1"/>
  <c r="R54" i="4"/>
  <c r="G54" i="4" a="1"/>
  <c r="B54" i="4" a="1"/>
  <c r="R53" i="4"/>
  <c r="G53" i="4" a="1"/>
  <c r="B53" i="4" a="1"/>
  <c r="R52" i="4"/>
  <c r="B52" i="4" a="1"/>
  <c r="R51" i="4"/>
  <c r="G51" i="4" a="1"/>
  <c r="D51" i="4" a="1"/>
  <c r="R50" i="4"/>
  <c r="G50" i="4" a="1"/>
  <c r="B50" i="4" a="1"/>
  <c r="R49" i="4" a="1"/>
  <c r="R48" i="4" a="1"/>
  <c r="G48" i="4" a="1"/>
  <c r="B48" i="4" a="1"/>
  <c r="R47" i="4" a="1"/>
  <c r="G47" i="4" a="1"/>
  <c r="B47" i="4"/>
  <c r="R46" i="4" a="1"/>
  <c r="G46" i="4" a="1"/>
  <c r="B46" i="4" a="1"/>
  <c r="R45" i="4" a="1"/>
  <c r="G45" i="4" a="1"/>
  <c r="B45" i="4" a="1"/>
  <c r="AH44" i="4" a="1"/>
  <c r="R44" i="4" a="1"/>
  <c r="G44" i="4"/>
  <c r="R43" i="4"/>
  <c r="G43" i="4"/>
  <c r="B43" i="4" a="1"/>
  <c r="R42" i="4"/>
  <c r="G42" i="4" a="1"/>
  <c r="B42" i="4" a="1"/>
  <c r="R41" i="4" a="1"/>
  <c r="G41" i="4" a="1"/>
  <c r="B41" i="4" a="1"/>
  <c r="G40" i="4"/>
  <c r="B40" i="4" a="1"/>
  <c r="R39" i="4" a="1"/>
  <c r="G39" i="4" a="1"/>
  <c r="B39" i="4"/>
  <c r="R38" i="4" a="1"/>
  <c r="G38" i="4" a="1"/>
  <c r="B30" i="4" a="1"/>
  <c r="X2" i="4" a="1"/>
  <c r="X1" i="4" a="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B64" i="4" l="1" a="1"/>
  <c r="M41" i="39" l="1" a="1"/>
  <c r="N130" i="4" l="1"/>
  <c r="N132" i="4"/>
  <c r="S41" i="1" l="1" a="1"/>
  <c r="G85" i="21" l="1"/>
  <c r="S47" i="2"/>
  <c r="E147" i="21" l="1"/>
  <c r="I108" i="38"/>
  <c r="I109" i="38" s="1"/>
  <c r="N111" i="38" s="1"/>
  <c r="L113" i="38" s="1"/>
  <c r="K113" i="38" s="1"/>
  <c r="P40" i="39" s="1"/>
  <c r="I106" i="38"/>
  <c r="I107" i="38" s="1"/>
  <c r="N109" i="38" s="1"/>
  <c r="E147" i="4"/>
  <c r="E152" i="21"/>
  <c r="O47" i="39" l="1"/>
  <c r="G64" i="38"/>
  <c r="L134" i="4"/>
  <c r="K134" i="4" s="1"/>
  <c r="T39" i="15"/>
  <c r="V39" i="8"/>
  <c r="V39" i="1"/>
  <c r="E152" i="4"/>
  <c r="B65" i="4" s="1" a="1"/>
  <c r="B67" i="4" s="1"/>
  <c r="T39" i="2"/>
  <c r="L126" i="21" a="1"/>
  <c r="M126" i="21" a="1"/>
  <c r="V38" i="8" l="1"/>
  <c r="V38" i="1"/>
  <c r="T38" i="15"/>
  <c r="T33" i="15"/>
  <c r="V33" i="1"/>
  <c r="V36" i="1" s="1"/>
  <c r="V40" i="1" s="1"/>
  <c r="V33" i="8"/>
  <c r="U33" i="8" s="1"/>
  <c r="G82" i="4"/>
  <c r="G94" i="4"/>
  <c r="M127" i="21"/>
  <c r="M128" i="21" s="1"/>
  <c r="M129" i="21"/>
  <c r="M130" i="21" s="1"/>
  <c r="L127" i="21"/>
  <c r="L128" i="21" s="1"/>
  <c r="N130" i="21" s="1"/>
  <c r="L129" i="21"/>
  <c r="L130" i="21" s="1"/>
  <c r="N132" i="21" s="1"/>
  <c r="L134" i="21" s="1"/>
  <c r="K134" i="21" s="1"/>
  <c r="G85" i="4" l="1"/>
  <c r="U47" i="1"/>
  <c r="T38" i="2"/>
  <c r="K113" i="4"/>
  <c r="J113" i="4"/>
  <c r="K101" i="4"/>
  <c r="J92" i="4"/>
  <c r="K117" i="4"/>
  <c r="K89" i="4"/>
  <c r="K108" i="4"/>
  <c r="K110" i="4"/>
  <c r="J86" i="4"/>
  <c r="K105" i="4"/>
  <c r="J119" i="4"/>
  <c r="J88" i="4"/>
  <c r="J85" i="4"/>
  <c r="K119" i="4"/>
  <c r="J112" i="4"/>
  <c r="K107" i="4"/>
  <c r="J114" i="4"/>
  <c r="K91" i="4"/>
  <c r="J110" i="4"/>
  <c r="J87" i="4"/>
  <c r="K120" i="4"/>
  <c r="K109" i="4"/>
  <c r="J82" i="4"/>
  <c r="J123" i="4"/>
  <c r="J100" i="4"/>
  <c r="J115" i="4"/>
  <c r="K85" i="4"/>
  <c r="K116" i="4"/>
  <c r="J108" i="4"/>
  <c r="K94" i="4"/>
  <c r="J94" i="4"/>
  <c r="J122" i="4"/>
  <c r="K97" i="4"/>
  <c r="K112" i="4"/>
  <c r="K82" i="4"/>
  <c r="J99" i="4"/>
  <c r="J111" i="4"/>
  <c r="J118" i="4"/>
  <c r="J91" i="4"/>
  <c r="K122" i="4"/>
  <c r="J109" i="4"/>
  <c r="K114" i="4"/>
  <c r="J90" i="4"/>
  <c r="J121" i="4"/>
  <c r="J93" i="4"/>
  <c r="K84" i="4"/>
  <c r="J97" i="4"/>
  <c r="K90" i="4"/>
  <c r="K98" i="4"/>
  <c r="J124" i="4"/>
  <c r="J116" i="4"/>
  <c r="K123" i="4"/>
  <c r="K95" i="4"/>
  <c r="K92" i="4"/>
  <c r="K88" i="4"/>
  <c r="J117" i="4"/>
  <c r="K102" i="4"/>
  <c r="J105"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K100" i="4"/>
  <c r="K126" i="4" l="1" a="1"/>
  <c r="J126" i="4" a="1"/>
  <c r="J129" i="4" l="1"/>
  <c r="J130" i="4" s="1"/>
  <c r="J127" i="4"/>
  <c r="J128" i="4" s="1"/>
  <c r="K129" i="4"/>
  <c r="K130" i="4" s="1"/>
  <c r="K127" i="4"/>
  <c r="K128"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<sst xmlns="http://schemas.openxmlformats.org/spreadsheetml/2006/main" count="3606" uniqueCount="943">
  <si>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</si>
  <si>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</si>
  <si>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</si>
  <si>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</si>
  <si>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</si>
  <si>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</si>
  <si>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</si>
  <si>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</si>
  <si>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</si>
  <si>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</si>
  <si>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</si>
  <si>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</si>
  <si>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</si>
  <si>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</si>
  <si>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</si>
  <si>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</si>
  <si>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</si>
  <si>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</si>
  <si>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</si>
  <si>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</si>
  <si>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</si>
  <si>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</si>
  <si>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</si>
  <si>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</si>
  <si>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</si>
  <si>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</si>
  <si>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</si>
  <si>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</si>
  <si>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</si>
  <si>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</si>
  <si>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</si>
  <si>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</si>
  <si>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</si>
  <si>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</si>
  <si>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</si>
  <si>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</si>
  <si>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</si>
  <si>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</si>
  <si>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</si>
  <si>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</si>
  <si>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</si>
  <si>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</si>
  <si>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</si>
  <si>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</si>
  <si>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</si>
  <si>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</si>
  <si>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</si>
  <si>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</si>
  <si>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</si>
  <si>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</si>
  <si>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</si>
  <si>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</si>
  <si>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</si>
  <si>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</si>
  <si>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</si>
  <si>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</si>
  <si>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</si>
  <si>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</si>
  <si>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</si>
  <si>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</si>
  <si>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</si>
  <si>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</si>
  <si>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</si>
  <si>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</si>
  <si>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</si>
  <si>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</si>
  <si>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</si>
  <si>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</si>
  <si>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</si>
  <si>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</si>
  <si>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</si>
  <si>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</si>
  <si>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</si>
  <si>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</si>
  <si>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</si>
  <si>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</si>
  <si>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</si>
  <si>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</si>
  <si>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</si>
  <si>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</si>
  <si>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</si>
  <si>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</si>
  <si>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</si>
  <si>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</si>
  <si>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</si>
  <si>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</si>
  <si>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</si>
  <si>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</si>
  <si>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</si>
  <si>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</si>
  <si>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</si>
  <si>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</si>
  <si>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</si>
  <si>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</si>
  <si>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</si>
  <si>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</si>
  <si>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</si>
  <si>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</si>
  <si>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</si>
  <si>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</si>
  <si>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</si>
  <si>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</si>
  <si>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</si>
  <si>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</si>
  <si>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</si>
  <si>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</si>
  <si>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</si>
  <si>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</si>
  <si>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</si>
  <si>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</si>
  <si>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</si>
  <si>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</si>
  <si>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</si>
  <si>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</si>
  <si>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</si>
  <si>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</si>
  <si>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</si>
  <si>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</si>
  <si>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</si>
  <si>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</si>
  <si>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</si>
  <si>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</si>
  <si>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</si>
  <si>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</si>
  <si>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</si>
  <si>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</si>
  <si>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</si>
  <si>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</si>
  <si>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</si>
  <si>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</si>
  <si>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</si>
  <si>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</si>
  <si>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</si>
  <si>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</si>
  <si>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</si>
  <si>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</si>
  <si>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</si>
  <si>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</si>
  <si>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</si>
  <si>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</si>
  <si>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</si>
  <si>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</si>
  <si>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</si>
  <si>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</si>
  <si>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</si>
  <si>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</si>
  <si>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</si>
  <si>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</si>
  <si>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</si>
  <si>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</si>
  <si>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</si>
  <si>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</si>
  <si>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</si>
  <si>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</si>
  <si>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</si>
  <si>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</si>
  <si>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</si>
  <si>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</si>
  <si>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</si>
  <si>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</si>
  <si>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</si>
  <si>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</si>
  <si>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</si>
  <si>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</si>
  <si>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</si>
  <si>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</si>
  <si>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</si>
  <si>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</si>
  <si>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</si>
  <si>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</si>
  <si>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</si>
  <si>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</si>
  <si>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</si>
  <si>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</si>
  <si>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</si>
  <si>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</si>
  <si>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</si>
  <si>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</si>
  <si>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</si>
  <si>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</si>
  <si>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</si>
  <si>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</si>
  <si>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</si>
  <si>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</si>
  <si>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</si>
  <si>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</si>
  <si>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</si>
  <si>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</si>
  <si>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</si>
  <si>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</si>
  <si>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</si>
  <si>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</si>
  <si>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</si>
  <si>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</si>
  <si>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</si>
  <si>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</si>
  <si>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</si>
  <si>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</si>
  <si>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</si>
  <si>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</si>
  <si>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</si>
  <si>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</si>
  <si>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</si>
  <si>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</si>
  <si>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</si>
  <si>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</si>
  <si>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</si>
  <si>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</si>
  <si>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</si>
  <si>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</si>
  <si>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</si>
  <si>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</si>
  <si>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</si>
  <si>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</si>
  <si>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</si>
  <si>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</si>
  <si>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</si>
  <si>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</si>
  <si>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</si>
  <si>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</si>
  <si>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</si>
  <si>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</si>
  <si>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</si>
  <si>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</si>
  <si>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</si>
  <si>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</si>
  <si>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</si>
  <si>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</si>
  <si>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</si>
  <si>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</si>
  <si>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</si>
  <si>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</si>
  <si>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</si>
  <si>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</si>
  <si>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</si>
  <si>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</si>
  <si>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</si>
  <si>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</si>
  <si>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</si>
  <si>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</si>
  <si>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</si>
  <si>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</si>
  <si>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</si>
  <si>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</si>
  <si>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</si>
  <si>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</si>
  <si>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</si>
  <si>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</si>
  <si>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</si>
  <si>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</si>
  <si>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</si>
  <si>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</si>
  <si>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</si>
  <si>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</si>
  <si>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</si>
  <si>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</si>
  <si>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</si>
  <si>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</si>
  <si>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</si>
  <si>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</si>
  <si>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</si>
  <si>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</si>
  <si>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</si>
  <si>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</si>
  <si>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</si>
  <si>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</si>
  <si>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</si>
  <si>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</si>
  <si>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</si>
  <si>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</si>
  <si>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</si>
  <si>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</si>
  <si>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</si>
  <si>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</si>
  <si>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</si>
  <si>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</si>
  <si>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</si>
  <si>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</si>
  <si>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</si>
  <si>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</si>
  <si>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</si>
  <si>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</si>
  <si>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</si>
  <si>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</si>
  <si>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</si>
  <si>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</si>
  <si>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</si>
  <si>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</si>
  <si>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</si>
  <si>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</si>
  <si>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</si>
  <si>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</si>
  <si>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</si>
  <si>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</si>
  <si>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</si>
  <si>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</si>
  <si>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</si>
  <si>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</si>
  <si>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</si>
  <si>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</si>
  <si>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</si>
  <si>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</si>
  <si>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</si>
  <si>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</si>
  <si>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</si>
  <si>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</si>
  <si>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</si>
  <si>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</si>
  <si>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</si>
  <si>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</si>
  <si>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</si>
  <si>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</si>
  <si>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</si>
  <si>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</si>
  <si>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</si>
  <si>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</si>
  <si>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</si>
  <si>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</si>
  <si>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</si>
  <si>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</si>
  <si>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</si>
  <si>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</si>
  <si>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</si>
  <si>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</si>
  <si>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</si>
  <si>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</si>
  <si>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</si>
  <si>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</si>
  <si>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</si>
  <si>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</si>
  <si>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</si>
  <si>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</si>
  <si>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</si>
  <si>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</si>
  <si>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</si>
  <si>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</si>
  <si>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</si>
  <si>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</si>
  <si>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</si>
  <si>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</si>
  <si>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</si>
  <si>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</si>
  <si>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</si>
  <si>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</si>
  <si>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</si>
  <si>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</si>
  <si>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</si>
  <si>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</si>
  <si>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</si>
  <si>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</si>
  <si>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</si>
  <si>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</si>
  <si>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</si>
  <si>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</si>
  <si>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</si>
  <si>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</si>
  <si>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</si>
  <si>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</si>
  <si>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</si>
  <si>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</si>
  <si>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</si>
  <si>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</si>
  <si>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</si>
  <si>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</si>
  <si>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</si>
  <si>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</si>
  <si>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</si>
  <si>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</si>
  <si>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</si>
  <si>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</si>
  <si>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</si>
  <si>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</si>
  <si>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</si>
  <si>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</si>
  <si>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</si>
  <si>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</si>
  <si>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</si>
  <si>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</si>
  <si>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</si>
  <si>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</si>
  <si>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</si>
  <si>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</si>
  <si>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</si>
  <si>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</si>
  <si>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</si>
  <si>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</si>
  <si>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</si>
  <si>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</si>
  <si>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</si>
  <si>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</si>
  <si>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</si>
  <si>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</si>
  <si>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</si>
  <si>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</si>
  <si>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</si>
  <si>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</si>
  <si>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</si>
  <si>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</si>
  <si>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</si>
  <si>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</si>
  <si>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</si>
  <si>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</si>
  <si>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</si>
  <si>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</si>
  <si>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</si>
  <si>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</si>
  <si>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</si>
  <si>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</si>
  <si>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</si>
  <si>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</si>
  <si>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</si>
  <si>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</si>
  <si>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</si>
  <si>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</si>
  <si>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</si>
  <si>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</si>
  <si>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</si>
  <si>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</si>
  <si>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</si>
  <si>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</si>
  <si>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</si>
  <si>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</si>
  <si>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</si>
  <si>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</si>
  <si>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</si>
  <si>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</si>
  <si>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</si>
  <si>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</si>
  <si>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</si>
  <si>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</si>
  <si>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</si>
  <si>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</si>
  <si>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</si>
  <si>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</si>
  <si>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</si>
  <si>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</si>
  <si>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</si>
  <si>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</si>
  <si>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</si>
  <si>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</si>
  <si>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</si>
  <si>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</si>
  <si>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</si>
  <si>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</si>
  <si>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</si>
  <si>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</si>
  <si>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</si>
  <si>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</si>
  <si>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</si>
  <si>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</si>
  <si>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</si>
  <si>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</si>
  <si>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</si>
  <si>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</si>
  <si>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</si>
  <si>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</si>
  <si>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</si>
  <si>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</si>
  <si>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</si>
  <si>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</si>
  <si>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</si>
  <si>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</si>
  <si>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</si>
  <si>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</si>
  <si>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</si>
  <si>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</si>
  <si>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</si>
  <si>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</si>
  <si>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</si>
  <si>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</si>
  <si>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</si>
  <si>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</si>
  <si>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</si>
  <si>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</si>
  <si>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</si>
  <si>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</si>
  <si>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</si>
  <si>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</si>
  <si>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</si>
  <si>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</si>
  <si>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</si>
  <si>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</si>
  <si>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</si>
  <si>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</si>
  <si>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</si>
  <si>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</si>
  <si>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</si>
  <si>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</si>
  <si>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</si>
  <si>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</si>
  <si>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</si>
  <si>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</si>
  <si>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</si>
  <si>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</si>
  <si>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</si>
  <si>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</si>
  <si>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</si>
  <si>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</si>
  <si>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</si>
  <si>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</si>
  <si>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</si>
  <si>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</si>
  <si>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</si>
  <si>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</si>
  <si>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</si>
  <si>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</si>
  <si>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</si>
  <si>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</si>
  <si>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</si>
  <si>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</si>
  <si>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</si>
  <si>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</si>
  <si>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</si>
  <si>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</si>
  <si>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</si>
  <si>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</si>
  <si>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</si>
  <si>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</si>
  <si>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</si>
  <si>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</si>
  <si>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</si>
  <si>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</si>
  <si>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</si>
  <si>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</si>
  <si>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</si>
  <si>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</si>
  <si>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</si>
  <si>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</si>
  <si>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</si>
  <si>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</si>
  <si>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</si>
  <si>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</si>
  <si>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</si>
  <si>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</si>
  <si>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</si>
  <si>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</si>
  <si>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</si>
  <si>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</si>
  <si>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</si>
  <si>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</si>
  <si>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</si>
  <si>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</si>
  <si>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</si>
  <si>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</si>
  <si>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</si>
  <si>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</si>
  <si>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</si>
  <si>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</si>
  <si>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</si>
  <si>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</si>
  <si>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</si>
  <si>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</si>
  <si>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</si>
  <si>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</si>
  <si>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</si>
  <si>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</si>
  <si>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</si>
  <si>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</si>
  <si>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</si>
  <si>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</si>
  <si>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</si>
  <si>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</si>
  <si>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</si>
  <si>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</si>
  <si>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</si>
  <si>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</si>
  <si>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</si>
  <si>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</si>
  <si>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</si>
  <si>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</si>
  <si>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</si>
  <si>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</si>
  <si>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</si>
  <si>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</si>
  <si>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</si>
  <si>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</si>
  <si>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</si>
  <si>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</si>
  <si>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</si>
  <si>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</si>
  <si>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</si>
  <si>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</si>
  <si>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</si>
  <si>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</si>
  <si>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</si>
  <si>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</si>
  <si>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</si>
  <si>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</si>
  <si>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</si>
  <si>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</si>
  <si>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</si>
  <si>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</si>
  <si>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</si>
  <si>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</si>
  <si>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</si>
  <si>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</si>
  <si>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</si>
  <si>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</si>
  <si>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</si>
  <si>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</si>
  <si>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</si>
  <si>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</si>
  <si>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</si>
  <si>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</si>
  <si>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</si>
  <si>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</si>
  <si>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</si>
  <si>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</si>
  <si>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</si>
  <si>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</si>
  <si>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</si>
  <si>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</si>
  <si>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</si>
  <si>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</si>
  <si>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</si>
  <si>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</si>
  <si>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</si>
  <si>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</si>
  <si>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</si>
  <si>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</si>
  <si>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</si>
  <si>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</si>
  <si>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</si>
  <si>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</si>
  <si>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</si>
  <si>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</si>
  <si>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</si>
  <si>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</si>
  <si>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</si>
  <si>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</si>
  <si>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</si>
  <si>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</si>
  <si>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</si>
  <si>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</si>
  <si>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</si>
  <si>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</si>
  <si>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</si>
  <si>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</si>
  <si>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</si>
  <si>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</si>
  <si>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</si>
  <si>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</si>
  <si>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</si>
  <si>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</si>
  <si>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</si>
  <si>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</si>
  <si>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</si>
  <si>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</si>
  <si>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</si>
  <si>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</si>
  <si>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</si>
  <si>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</si>
  <si>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</si>
  <si>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</si>
  <si>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</si>
  <si>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</si>
  <si>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</si>
  <si>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</si>
  <si>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</si>
  <si>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</si>
  <si>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</si>
  <si>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</si>
  <si>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</si>
  <si>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</si>
  <si>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</si>
  <si>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</si>
  <si>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</si>
  <si>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</si>
  <si>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</si>
  <si>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</si>
  <si>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</si>
  <si>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</si>
  <si>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</si>
  <si>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</si>
  <si>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</si>
  <si>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</si>
  <si>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</si>
  <si>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</si>
  <si>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</si>
  <si>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</si>
  <si>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</si>
  <si>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</si>
  <si>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</si>
  <si>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</si>
  <si>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</si>
  <si>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</si>
  <si>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</si>
  <si>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</si>
  <si>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</si>
  <si>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</si>
  <si>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</si>
  <si>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</si>
  <si>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</si>
  <si>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</si>
  <si>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</si>
  <si>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</si>
  <si>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</si>
  <si>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</si>
  <si>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</si>
  <si>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</si>
  <si>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</si>
  <si>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</si>
  <si>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</si>
  <si>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</si>
  <si>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</si>
  <si>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</si>
  <si>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</si>
  <si>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</si>
  <si>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</si>
  <si>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</si>
  <si>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</si>
  <si>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</si>
  <si>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</si>
  <si>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</si>
  <si>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</si>
  <si>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</si>
  <si>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</si>
  <si>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</si>
  <si>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</si>
  <si>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</si>
  <si>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</si>
  <si>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</si>
  <si>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</si>
  <si>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</si>
  <si>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</si>
  <si>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</si>
  <si>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</si>
  <si>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</si>
  <si>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</si>
  <si>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</si>
  <si>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</si>
  <si>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</si>
  <si>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</si>
  <si>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</si>
  <si>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</si>
  <si>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</si>
  <si>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</si>
  <si>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</si>
  <si>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</si>
  <si>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</si>
  <si>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</si>
  <si>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</si>
  <si>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</si>
  <si>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</si>
  <si>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</si>
  <si>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</si>
  <si>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</si>
  <si>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</si>
  <si>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</si>
  <si>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</si>
  <si>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</si>
  <si>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</si>
  <si>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</si>
  <si>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</si>
  <si>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</si>
  <si>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</si>
  <si>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</si>
  <si>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</si>
  <si>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</si>
  <si>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</si>
  <si>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</si>
  <si>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</si>
  <si>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</si>
  <si>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</si>
  <si>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</si>
  <si>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</si>
  <si>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</si>
  <si>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</si>
  <si>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</si>
  <si>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</si>
  <si>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</si>
  <si>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</si>
  <si>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</si>
  <si>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</si>
  <si>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</si>
  <si>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</si>
  <si>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</si>
  <si>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</si>
  <si>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</si>
  <si>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</si>
  <si>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</si>
  <si>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</si>
  <si>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</si>
  <si>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</si>
  <si>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</si>
  <si>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</si>
  <si>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</si>
  <si>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</si>
  <si>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</si>
  <si>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</si>
  <si>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</si>
  <si>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</si>
  <si>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</si>
  <si>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</si>
  <si>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</si>
  <si>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</si>
  <si>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</si>
  <si>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</si>
  <si>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</si>
  <si>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</si>
  <si>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</si>
  <si>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</si>
  <si>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</si>
  <si>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</si>
  <si>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</si>
  <si>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</si>
  <si>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</si>
  <si>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</si>
  <si>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</si>
  <si>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</si>
  <si>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</si>
  <si>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</si>
  <si>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</si>
  <si>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</si>
  <si>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</si>
  <si>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</si>
  <si>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</si>
  <si>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</si>
  <si>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</si>
  <si>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</si>
  <si>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</si>
  <si>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</si>
  <si>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</si>
  <si>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</si>
  <si>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</si>
  <si>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</si>
  <si>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</si>
  <si>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</si>
  <si>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</si>
  <si>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</si>
  <si>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</si>
  <si>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</si>
  <si>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</si>
  <si>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</si>
  <si>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</si>
  <si>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</si>
  <si>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</si>
  <si>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</si>
  <si>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</si>
  <si>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</si>
  <si>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</si>
  <si>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</si>
  <si>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</si>
  <si>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</si>
  <si>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</si>
  <si>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</si>
  <si>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</si>
  <si>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</si>
  <si>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</si>
  <si>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</si>
  <si>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</si>
  <si>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</si>
  <si>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</si>
  <si>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</si>
  <si>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</si>
  <si>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</si>
  <si>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</si>
  <si>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</si>
  <si>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</si>
  <si>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</si>
  <si>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</si>
  <si>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</si>
  <si>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</si>
  <si>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</si>
  <si>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</si>
  <si>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</si>
  <si>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</si>
  <si>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</si>
  <si>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</si>
  <si>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</si>
  <si>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</si>
  <si>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</si>
  <si>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</si>
  <si>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</si>
  <si>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</si>
  <si>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</si>
  <si>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</si>
  <si>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</si>
  <si>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</si>
  <si>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</si>
  <si>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</si>
  <si>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</si>
  <si>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</si>
  <si>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</si>
  <si>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</si>
  <si>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</si>
  <si>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</si>
  <si>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</si>
  <si>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</si>
  <si>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</si>
  <si>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</si>
  <si>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</si>
  <si>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</si>
  <si>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</si>
  <si>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</si>
  <si>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</si>
  <si>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</si>
  <si>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</si>
  <si>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</si>
  <si>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</si>
  <si>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</si>
  <si>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</si>
  <si>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</si>
  <si>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</si>
  <si>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</si>
  <si>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</si>
  <si>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</si>
  <si>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</si>
  <si>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</si>
  <si>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</si>
  <si>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</si>
  <si>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</si>
  <si>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</si>
  <si>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</si>
  <si>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</si>
  <si>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</si>
  <si>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</si>
  <si>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</si>
  <si>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</si>
  <si>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</si>
  <si>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</si>
  <si>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</si>
  <si>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</si>
  <si>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</si>
  <si>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</si>
  <si>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</si>
  <si>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</si>
  <si>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</si>
  <si>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</si>
  <si>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</si>
  <si>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</si>
  <si>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</si>
  <si>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</si>
  <si>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</si>
  <si>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</si>
  <si>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</si>
  <si>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</si>
  <si>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</si>
  <si>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September Special</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</si>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</sst>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B3040"/>
      <name val="Aptos Narrow"/>
      <family val="2"/>
      <scheme val="minor"/>
    </font>
    <font>
      <sz val="11"/>
      <color rgb="FF0B3040"/>
      <name val="Aptos Narrow"/>
      <family val="2"/>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3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23" borderId="20" xfId="0" applyNumberFormat="1" applyFont="1" applyFill="1" applyBorder="1" applyAlignment="1" applyProtection="1">
      <alignment horizontal="center" vertical="top"/>
      <protection hidden="1"/>
    </xf>
    <xf numFmtId="0" fontId="0" fillId="23" borderId="0" xfId="0" applyFill="1"/>
    <xf numFmtId="166" fontId="25" fillId="23" borderId="14" xfId="0" applyNumberFormat="1" applyFont="1" applyFill="1" applyBorder="1" applyAlignment="1" applyProtection="1">
      <alignment horizontal="center" vertical="top"/>
      <protection hidden="1"/>
    </xf>
    <xf numFmtId="0" fontId="44" fillId="0" borderId="0" xfId="0" quotePrefix="1" applyFont="1"/>
    <xf numFmtId="0" fontId="0" fillId="17" borderId="0" xfId="0" applyFill="1"/>
    <xf numFmtId="166" fontId="107" fillId="13" borderId="0" xfId="0" applyNumberFormat="1" applyFont="1" applyFill="1" applyAlignment="1" applyProtection="1">
      <alignment horizontal="center" vertical="top"/>
      <protection hidden="1"/>
    </xf>
    <xf numFmtId="0" fontId="108" fillId="13" borderId="0" xfId="0" applyFont="1" applyFill="1"/>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33" fillId="10" borderId="17"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0" fontId="0" fillId="0" borderId="25" xfId="0" applyBorder="1" applyAlignment="1">
      <alignment horizontal="center" vertical="center"/>
    </xf>
    <xf numFmtId="165" fontId="11" fillId="4" borderId="18" xfId="1" applyNumberFormat="1" applyFont="1" applyFill="1" applyBorder="1" applyAlignment="1" applyProtection="1">
      <alignment horizontal="center" vertical="center"/>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0" fontId="0" fillId="0" borderId="18" xfId="0" applyBorder="1" applyAlignment="1">
      <alignment horizontal="center" vertical="center"/>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4" borderId="27" xfId="1" applyNumberFormat="1" applyFont="1" applyFill="1" applyBorder="1" applyAlignment="1" applyProtection="1">
      <alignment horizontal="center" vertic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3" fillId="10" borderId="20" xfId="0" applyFont="1" applyFill="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25"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0" fontId="41" fillId="17" borderId="18" xfId="0" quotePrefix="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2"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6"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7"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0" fontId="37" fillId="33"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31" borderId="20" xfId="1" applyNumberFormat="1" applyFont="1" applyFill="1" applyBorder="1" applyAlignment="1" applyProtection="1">
      <alignment horizontal="center" vertical="center"/>
      <protection hidden="1"/>
    </xf>
    <xf numFmtId="165" fontId="11" fillId="31" borderId="27" xfId="1" applyNumberFormat="1" applyFont="1" applyFill="1" applyBorder="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0">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7</xdr:row>
      <xdr:rowOff>58834</xdr:rowOff>
    </xdr:from>
    <xdr:to>
      <xdr:col>19</xdr:col>
      <xdr:colOff>1247776</xdr:colOff>
      <xdr:row>8</xdr:row>
      <xdr:rowOff>152400</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392401" y="15923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393701</xdr:colOff>
      <xdr:row>4</xdr:row>
      <xdr:rowOff>72231</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425781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0</v>
      </c>
      <c r="O1" s="654"/>
      <c r="P1" s="654"/>
      <c r="Q1" s="2"/>
      <c r="R1" s="655"/>
      <c r="S1" s="655"/>
      <c r="T1" s="2"/>
      <c r="U1" s="2"/>
      <c r="V1" s="3"/>
    </row>
    <row r="2" spans="1:25" ht="17.45" customHeight="1" x14ac:dyDescent="0.25">
      <c r="B2" s="733" t="s">
        <v>938</v>
      </c>
      <c r="C2" s="734"/>
      <c r="D2" s="734"/>
      <c r="N2" s="656" t="s">
        <v>1</v>
      </c>
      <c r="O2" s="656"/>
      <c r="P2" s="656"/>
      <c r="Q2" s="4"/>
      <c r="R2" s="657"/>
      <c r="S2" s="657"/>
      <c r="T2" s="2"/>
      <c r="U2" s="2"/>
      <c r="V2" s="3"/>
    </row>
    <row r="3" spans="1:25" ht="17.45" customHeight="1" x14ac:dyDescent="0.25">
      <c r="B3" s="513" t="s">
        <v>824</v>
      </c>
      <c r="C3" s="731" t="s">
        <v>934</v>
      </c>
      <c r="D3" s="732"/>
      <c r="N3" s="656" t="s">
        <v>2</v>
      </c>
      <c r="O3" s="656"/>
      <c r="P3" s="656"/>
      <c r="Q3" s="4"/>
      <c r="R3" s="657"/>
      <c r="S3" s="657"/>
      <c r="T3" s="4"/>
      <c r="U3" s="4"/>
    </row>
    <row r="4" spans="1:25" ht="17.45" customHeight="1" x14ac:dyDescent="0.25">
      <c r="B4"/>
      <c r="C4"/>
      <c r="D4"/>
      <c r="F4" s="5"/>
      <c r="G4" s="104"/>
      <c r="M4" s="6"/>
      <c r="N4" s="7"/>
      <c r="O4" s="7"/>
      <c r="P4" s="7"/>
      <c r="Q4" s="8"/>
      <c r="R4" s="4"/>
      <c r="S4" s="4"/>
      <c r="T4" s="4"/>
      <c r="U4" s="4"/>
    </row>
    <row r="5" spans="1:25" ht="17.45" customHeight="1" thickBot="1" x14ac:dyDescent="0.3">
      <c r="B5" s="517" t="s">
        <v>896</v>
      </c>
      <c r="C5" s="517">
        <f ca="1">NOW()</f>
        <v>46269.281327893521</v>
      </c>
      <c r="L5" s="9"/>
      <c r="M5" s="665" t="s">
        <v>3</v>
      </c>
      <c r="N5" s="665"/>
      <c r="O5" s="666">
        <v>46269</v>
      </c>
      <c r="P5" s="666"/>
      <c r="Q5" s="8"/>
      <c r="S5" s="496"/>
      <c r="T5" s="3"/>
      <c r="U5" s="3"/>
    </row>
    <row r="6" spans="1:25" ht="17.45" customHeight="1" x14ac:dyDescent="0.25">
      <c r="A6" s="11"/>
      <c r="B6" s="619" t="s">
        <v>4</v>
      </c>
      <c r="C6" s="620"/>
      <c r="D6" s="620"/>
      <c r="E6" s="13"/>
      <c r="F6" s="670" t="s">
        <v>5</v>
      </c>
      <c r="G6" s="671"/>
      <c r="H6" s="671"/>
      <c r="I6" s="671"/>
      <c r="J6" s="671"/>
      <c r="K6" s="671"/>
      <c r="L6" s="671"/>
      <c r="M6" s="671"/>
      <c r="N6" s="671"/>
      <c r="O6" s="671"/>
      <c r="P6" s="672"/>
      <c r="Q6" s="12"/>
      <c r="R6" s="14"/>
      <c r="S6" s="676" t="s">
        <v>6</v>
      </c>
      <c r="T6" s="677"/>
      <c r="U6" s="677"/>
      <c r="V6" s="678"/>
      <c r="W6" s="14"/>
    </row>
    <row r="7" spans="1:25" ht="17.45" customHeight="1" x14ac:dyDescent="0.25">
      <c r="A7" s="11"/>
      <c r="B7" s="619"/>
      <c r="C7" s="620"/>
      <c r="D7" s="620"/>
      <c r="E7" s="13"/>
      <c r="F7" s="673"/>
      <c r="G7" s="674"/>
      <c r="H7" s="674"/>
      <c r="I7" s="674"/>
      <c r="J7" s="674"/>
      <c r="K7" s="674"/>
      <c r="L7" s="674"/>
      <c r="M7" s="674"/>
      <c r="N7" s="674"/>
      <c r="O7" s="674"/>
      <c r="P7" s="675"/>
      <c r="Q7" s="12"/>
      <c r="R7" s="14"/>
      <c r="S7" s="679"/>
      <c r="T7" s="680"/>
      <c r="U7" s="680"/>
      <c r="V7" s="681"/>
      <c r="W7" s="14"/>
    </row>
    <row r="8" spans="1:25" ht="15.75" customHeight="1" x14ac:dyDescent="0.25">
      <c r="A8" s="11"/>
      <c r="B8" s="621"/>
      <c r="C8" s="622"/>
      <c r="D8" s="622"/>
      <c r="E8" s="14"/>
      <c r="F8" s="443"/>
      <c r="G8" s="444"/>
      <c r="H8" s="444"/>
      <c r="I8" s="444"/>
      <c r="J8" s="444"/>
      <c r="K8" s="444"/>
      <c r="L8" s="444"/>
      <c r="M8" s="444"/>
      <c r="N8" s="444"/>
      <c r="O8" s="444"/>
      <c r="P8" s="442"/>
      <c r="Q8" s="14"/>
      <c r="R8" s="14"/>
      <c r="S8" s="443"/>
      <c r="T8" s="444"/>
      <c r="U8" s="444"/>
      <c r="V8" s="442"/>
      <c r="W8" s="11"/>
    </row>
    <row r="9" spans="1:25" ht="15.75" x14ac:dyDescent="0.25">
      <c r="A9" s="11"/>
      <c r="B9" s="623" t="s">
        <v>7</v>
      </c>
      <c r="C9" s="624"/>
      <c r="D9" s="624"/>
      <c r="E9" s="14"/>
      <c r="F9" s="682" t="s">
        <v>8</v>
      </c>
      <c r="G9" s="683"/>
      <c r="H9" s="683"/>
      <c r="I9" s="683"/>
      <c r="J9" s="683"/>
      <c r="K9" s="683"/>
      <c r="L9" s="683"/>
      <c r="M9" s="683"/>
      <c r="N9" s="683"/>
      <c r="O9" s="683"/>
      <c r="P9" s="684"/>
      <c r="Q9" s="18"/>
      <c r="R9" s="14"/>
      <c r="S9" s="19"/>
      <c r="T9" s="20"/>
      <c r="U9" s="21" t="s">
        <v>9</v>
      </c>
      <c r="V9" s="22"/>
      <c r="W9" s="14"/>
    </row>
    <row r="10" spans="1:25" ht="15.75" customHeight="1" x14ac:dyDescent="0.25">
      <c r="A10" s="11"/>
      <c r="B10" s="445" t="s">
        <v>10</v>
      </c>
      <c r="C10" s="446" t="s">
        <v>210</v>
      </c>
      <c r="D10" s="446" t="s">
        <v>221</v>
      </c>
      <c r="E10" s="14"/>
      <c r="F10" s="685" t="s">
        <v>12</v>
      </c>
      <c r="G10" s="686"/>
      <c r="H10" s="447" t="s">
        <v>13</v>
      </c>
      <c r="I10" s="447" t="s">
        <v>14</v>
      </c>
      <c r="J10" s="447" t="s">
        <v>15</v>
      </c>
      <c r="K10" s="447" t="s">
        <v>16</v>
      </c>
      <c r="L10" s="447" t="s">
        <v>17</v>
      </c>
      <c r="M10" s="447" t="s">
        <v>18</v>
      </c>
      <c r="N10" s="447" t="s">
        <v>19</v>
      </c>
      <c r="O10" s="447" t="s">
        <v>20</v>
      </c>
      <c r="P10" s="446" t="s">
        <v>21</v>
      </c>
      <c r="Q10" s="26"/>
      <c r="R10" s="14"/>
      <c r="S10" s="661" t="s">
        <v>22</v>
      </c>
      <c r="T10" s="662"/>
      <c r="U10" s="27">
        <v>0</v>
      </c>
      <c r="V10" s="362"/>
      <c r="W10" s="14"/>
    </row>
    <row r="11" spans="1:25" ht="14.25" customHeight="1" x14ac:dyDescent="0.25">
      <c r="A11" s="11"/>
      <c r="B11" s="28">
        <v>5.99</v>
      </c>
      <c r="C11" s="515">
        <v>97.313000000000002</v>
      </c>
      <c r="D11" s="368">
        <v>97.013000000000005</v>
      </c>
      <c r="E11" s="14"/>
      <c r="F11" s="663" t="s">
        <v>23</v>
      </c>
      <c r="G11" s="664"/>
      <c r="H11" s="29">
        <v>0.875</v>
      </c>
      <c r="I11" s="29">
        <v>0.625</v>
      </c>
      <c r="J11" s="29">
        <v>0.625</v>
      </c>
      <c r="K11" s="29">
        <v>0.625</v>
      </c>
      <c r="L11" s="29">
        <v>0.5</v>
      </c>
      <c r="M11" s="29">
        <v>0.22500000000000001</v>
      </c>
      <c r="N11" s="29">
        <v>-0.5</v>
      </c>
      <c r="O11" s="29">
        <v>-1.625</v>
      </c>
      <c r="P11" s="30">
        <v>-3.5249999999999999</v>
      </c>
      <c r="Q11" s="31"/>
      <c r="R11" s="14"/>
      <c r="S11" s="627" t="s">
        <v>24</v>
      </c>
      <c r="T11" s="628"/>
      <c r="U11" s="32" t="s">
        <v>32</v>
      </c>
      <c r="V11" s="362"/>
      <c r="W11" s="14"/>
      <c r="X11" s="33"/>
      <c r="Y11" s="33"/>
    </row>
    <row r="12" spans="1:25" x14ac:dyDescent="0.25">
      <c r="A12" s="11"/>
      <c r="B12" s="28">
        <v>6.125</v>
      </c>
      <c r="C12" s="515">
        <v>97.937500000000014</v>
      </c>
      <c r="D12" s="368">
        <v>97.637500000000031</v>
      </c>
      <c r="E12" s="14"/>
      <c r="F12" s="629" t="s">
        <v>25</v>
      </c>
      <c r="G12" s="630"/>
      <c r="H12" s="35">
        <v>0.65</v>
      </c>
      <c r="I12" s="35">
        <v>0.58799999999999997</v>
      </c>
      <c r="J12" s="29">
        <v>0.58799999999999997</v>
      </c>
      <c r="K12" s="35">
        <v>0.5</v>
      </c>
      <c r="L12" s="35">
        <v>0.375</v>
      </c>
      <c r="M12" s="35">
        <v>0.125</v>
      </c>
      <c r="N12" s="35">
        <v>-0.625</v>
      </c>
      <c r="O12" s="35">
        <v>-2.125</v>
      </c>
      <c r="P12" s="36">
        <v>-3.7749999999999999</v>
      </c>
      <c r="Q12" s="31"/>
      <c r="R12" s="14"/>
      <c r="S12" s="627" t="s">
        <v>26</v>
      </c>
      <c r="T12" s="628"/>
      <c r="U12" s="32" t="s">
        <v>32</v>
      </c>
      <c r="V12" s="362" t="b">
        <f>IF(ISNUMBER(MATCH($U$11,'Feed(WS)'!$B$3:$B$11,0)),
   INDEX($H$11:$P$20,MATCH($U$12,$F$11:$F$20,0),MATCH($U$11,$H$10:$P$10,0)))</f>
        <v>0</v>
      </c>
      <c r="W12" s="14"/>
      <c r="X12" s="33"/>
      <c r="Y12" s="33"/>
    </row>
    <row r="13" spans="1:25" ht="15.75" customHeight="1" x14ac:dyDescent="0.25">
      <c r="A13" s="11"/>
      <c r="B13" s="28">
        <v>6.25</v>
      </c>
      <c r="C13" s="515">
        <v>98.475500000000011</v>
      </c>
      <c r="D13" s="368">
        <v>98.175500000000028</v>
      </c>
      <c r="E13" s="14"/>
      <c r="F13" s="629" t="s">
        <v>27</v>
      </c>
      <c r="G13" s="630"/>
      <c r="H13" s="35">
        <v>0.58799999999999997</v>
      </c>
      <c r="I13" s="35">
        <v>0.5</v>
      </c>
      <c r="J13" s="29">
        <v>0.5</v>
      </c>
      <c r="K13" s="35">
        <v>0.375</v>
      </c>
      <c r="L13" s="35">
        <v>0.125</v>
      </c>
      <c r="M13" s="35">
        <v>-0.375</v>
      </c>
      <c r="N13" s="35">
        <v>-0.875</v>
      </c>
      <c r="O13" s="35">
        <v>-2.375</v>
      </c>
      <c r="P13" s="36">
        <v>-4.0250000000000004</v>
      </c>
      <c r="Q13" s="31"/>
      <c r="R13" s="14"/>
      <c r="S13" s="627" t="s">
        <v>28</v>
      </c>
      <c r="T13" s="628"/>
      <c r="U13" s="32" t="s">
        <v>32</v>
      </c>
      <c r="V13" s="362" t="e">
        <f>IF(OR($U$11="", $U$13=""), "",
   INDEX($H$23:$P$24,
         MATCH($U$13,$F$23:$F$24,0),
         MATCH($U$11,$H$10:$P$10,0)))</f>
        <v>#N/A</v>
      </c>
      <c r="W13" s="14"/>
      <c r="X13" s="33"/>
      <c r="Y13" s="33"/>
    </row>
    <row r="14" spans="1:25" ht="15.75" customHeight="1" x14ac:dyDescent="0.25">
      <c r="A14" s="11"/>
      <c r="B14" s="28">
        <v>6.375</v>
      </c>
      <c r="C14" s="515">
        <v>98.975500000000011</v>
      </c>
      <c r="D14" s="368">
        <v>98.675500000000028</v>
      </c>
      <c r="E14" s="14"/>
      <c r="F14" s="629" t="s">
        <v>30</v>
      </c>
      <c r="G14" s="630"/>
      <c r="H14" s="35">
        <v>0.5</v>
      </c>
      <c r="I14" s="35">
        <v>0.375</v>
      </c>
      <c r="J14" s="29">
        <v>0.375</v>
      </c>
      <c r="K14" s="35">
        <v>0.125</v>
      </c>
      <c r="L14" s="35">
        <v>-0.25</v>
      </c>
      <c r="M14" s="35">
        <v>-0.6</v>
      </c>
      <c r="N14" s="35">
        <v>-1.1499999999999999</v>
      </c>
      <c r="O14" s="35">
        <v>-3.125</v>
      </c>
      <c r="P14" s="36">
        <v>-4.5250000000000004</v>
      </c>
      <c r="Q14" s="31"/>
      <c r="R14" s="14"/>
      <c r="S14" s="627" t="s">
        <v>31</v>
      </c>
      <c r="T14" s="628"/>
      <c r="U14" s="32" t="s">
        <v>32</v>
      </c>
      <c r="V14" s="384">
        <f>'Feed(WS)'!$O$168</f>
        <v>0</v>
      </c>
      <c r="W14" s="14"/>
      <c r="X14" s="33"/>
      <c r="Y14" s="33"/>
    </row>
    <row r="15" spans="1:25" x14ac:dyDescent="0.25">
      <c r="A15" s="11"/>
      <c r="B15" s="28">
        <v>6.4989999999999997</v>
      </c>
      <c r="C15" s="515">
        <v>99.412500000000023</v>
      </c>
      <c r="D15" s="368">
        <v>99.112500000000026</v>
      </c>
      <c r="E15" s="14"/>
      <c r="F15" s="629" t="s">
        <v>33</v>
      </c>
      <c r="G15" s="630"/>
      <c r="H15" s="35">
        <v>0.125</v>
      </c>
      <c r="I15" s="35">
        <v>-0.125</v>
      </c>
      <c r="J15" s="29">
        <v>-0.125</v>
      </c>
      <c r="K15" s="35">
        <v>-0.5</v>
      </c>
      <c r="L15" s="35">
        <v>-0.625</v>
      </c>
      <c r="M15" s="35">
        <v>-1.125</v>
      </c>
      <c r="N15" s="35">
        <v>-2.0249999999999999</v>
      </c>
      <c r="O15" s="35">
        <v>-3.875</v>
      </c>
      <c r="P15" s="36">
        <v>-5.2750000000000004</v>
      </c>
      <c r="Q15" s="31"/>
      <c r="R15" s="14"/>
      <c r="S15" s="627" t="s">
        <v>34</v>
      </c>
      <c r="T15" s="628"/>
      <c r="U15" s="32" t="s">
        <v>32</v>
      </c>
      <c r="V15" s="362" t="e">
        <f>IF(OR($U$11="", $U$15=""), "",
   INDEX($H$78:$P$82,
         MATCH($U$15,$F$78:$F$82,0),
         MATCH($U$11,$H$10:$P$10,0)))</f>
        <v>#N/A</v>
      </c>
      <c r="W15" s="14"/>
      <c r="X15" s="33"/>
      <c r="Y15" s="33"/>
    </row>
    <row r="16" spans="1:25" ht="14.25" customHeight="1" x14ac:dyDescent="0.25">
      <c r="A16" s="11"/>
      <c r="B16" s="28">
        <v>6.625</v>
      </c>
      <c r="C16" s="515">
        <v>99.810500000000019</v>
      </c>
      <c r="D16" s="368">
        <v>99.510500000000022</v>
      </c>
      <c r="E16" s="14"/>
      <c r="F16" s="629" t="s">
        <v>36</v>
      </c>
      <c r="G16" s="630"/>
      <c r="H16" s="35">
        <v>-0.125</v>
      </c>
      <c r="I16" s="35">
        <v>-0.25</v>
      </c>
      <c r="J16" s="29">
        <v>-0.35</v>
      </c>
      <c r="K16" s="35">
        <v>-0.625</v>
      </c>
      <c r="L16" s="35">
        <v>-1.125</v>
      </c>
      <c r="M16" s="35">
        <v>-1.75</v>
      </c>
      <c r="N16" s="35">
        <v>-3.05</v>
      </c>
      <c r="O16" s="35">
        <v>-4.875</v>
      </c>
      <c r="P16" s="39" t="e">
        <v>#N/A</v>
      </c>
      <c r="Q16" s="31"/>
      <c r="R16" s="14"/>
      <c r="S16" s="627" t="s">
        <v>37</v>
      </c>
      <c r="T16" s="628"/>
      <c r="U16" s="32" t="s">
        <v>38</v>
      </c>
      <c r="V16" s="362">
        <f>IF(OR($U$11="", $U$16="", $U$16="NONE"),0,
   INDEX($H$84:$P$87,
         MATCH($U$16,$F$84:$F$87,0),
         MATCH($U$11,$H$10:$P$10,0)))</f>
        <v>0</v>
      </c>
      <c r="W16" s="14"/>
      <c r="X16" s="33"/>
      <c r="Y16" s="33"/>
    </row>
    <row r="17" spans="1:25" x14ac:dyDescent="0.25">
      <c r="A17" s="11"/>
      <c r="B17" s="28">
        <v>6.75</v>
      </c>
      <c r="C17" s="515">
        <v>100.20150000000002</v>
      </c>
      <c r="D17" s="368">
        <v>99.901500000000027</v>
      </c>
      <c r="E17" s="14"/>
      <c r="F17" s="629" t="s">
        <v>39</v>
      </c>
      <c r="G17" s="630"/>
      <c r="H17" s="35">
        <v>-0.625</v>
      </c>
      <c r="I17" s="35">
        <v>-0.625</v>
      </c>
      <c r="J17" s="29">
        <v>-0.5</v>
      </c>
      <c r="K17" s="35">
        <v>-0.875</v>
      </c>
      <c r="L17" s="35">
        <v>-1.375</v>
      </c>
      <c r="M17" s="35">
        <v>-2.7250000000000001</v>
      </c>
      <c r="N17" s="35">
        <v>-4</v>
      </c>
      <c r="O17" s="40" t="e">
        <v>#N/A</v>
      </c>
      <c r="P17" s="39" t="e">
        <v>#N/A</v>
      </c>
      <c r="Q17" s="31"/>
      <c r="R17" s="14"/>
      <c r="S17" s="627" t="s">
        <v>40</v>
      </c>
      <c r="T17" s="628"/>
      <c r="U17" s="32" t="s">
        <v>32</v>
      </c>
      <c r="V17" s="362">
        <v>0</v>
      </c>
      <c r="W17" s="14"/>
      <c r="X17" s="33"/>
      <c r="Y17" s="33"/>
    </row>
    <row r="18" spans="1:25" x14ac:dyDescent="0.25">
      <c r="A18" s="11"/>
      <c r="B18" s="28">
        <v>6.875</v>
      </c>
      <c r="C18" s="515">
        <v>100.58450000000002</v>
      </c>
      <c r="D18" s="368">
        <v>100.28450000000002</v>
      </c>
      <c r="E18" s="14"/>
      <c r="F18" s="629" t="s">
        <v>41</v>
      </c>
      <c r="G18" s="630"/>
      <c r="H18" s="35">
        <v>-1.375</v>
      </c>
      <c r="I18" s="35">
        <v>-1.5</v>
      </c>
      <c r="J18" s="29">
        <v>-1.75</v>
      </c>
      <c r="K18" s="35">
        <v>-2</v>
      </c>
      <c r="L18" s="35">
        <v>-2.25</v>
      </c>
      <c r="M18" s="35">
        <v>-3.875</v>
      </c>
      <c r="N18" s="35">
        <v>-4.9000000000000004</v>
      </c>
      <c r="O18" s="40" t="e">
        <v>#N/A</v>
      </c>
      <c r="P18" s="39" t="e">
        <v>#N/A</v>
      </c>
      <c r="Q18" s="31"/>
      <c r="R18" s="14"/>
      <c r="S18" s="627" t="s">
        <v>42</v>
      </c>
      <c r="T18" s="628"/>
      <c r="U18" s="32" t="s">
        <v>32</v>
      </c>
      <c r="V18" s="362" t="e">
        <f>IF(OR($U$11="", $U$18="", $U$18="None in this Dropdown"),0,
   INDEX($H$26:$P$31,
         MATCH($U$18,$F$26:$F$31,0),
         MATCH($U$11,$H$10:$P$10,0)))</f>
        <v>#N/A</v>
      </c>
      <c r="W18" s="14"/>
      <c r="X18" s="33"/>
      <c r="Y18" s="33"/>
    </row>
    <row r="19" spans="1:25" ht="15.75" customHeight="1" x14ac:dyDescent="0.25">
      <c r="A19" s="11"/>
      <c r="B19" s="28">
        <v>6.9989999999999997</v>
      </c>
      <c r="C19" s="515">
        <v>100.95950000000002</v>
      </c>
      <c r="D19" s="368">
        <v>100.65950000000002</v>
      </c>
      <c r="E19" s="14"/>
      <c r="F19" s="629" t="s">
        <v>43</v>
      </c>
      <c r="G19" s="630"/>
      <c r="H19" s="35">
        <v>-2.5</v>
      </c>
      <c r="I19" s="35">
        <v>-2.5</v>
      </c>
      <c r="J19" s="29">
        <v>-2.625</v>
      </c>
      <c r="K19" s="35">
        <v>-2.7749999999999999</v>
      </c>
      <c r="L19" s="35">
        <v>-3.2749999999999999</v>
      </c>
      <c r="M19" s="35">
        <v>-4.7750000000000004</v>
      </c>
      <c r="N19" s="35">
        <v>-5.875</v>
      </c>
      <c r="O19" s="40" t="e">
        <v>#N/A</v>
      </c>
      <c r="P19" s="39" t="e">
        <v>#N/A</v>
      </c>
      <c r="Q19" s="31"/>
      <c r="R19" s="14"/>
      <c r="S19" s="627" t="s">
        <v>593</v>
      </c>
      <c r="T19" s="628"/>
      <c r="U19" s="32" t="s">
        <v>32</v>
      </c>
      <c r="V19" s="362">
        <f>'Feed(WS)'!$R$163</f>
        <v>0</v>
      </c>
      <c r="W19" s="14"/>
      <c r="X19" s="33"/>
      <c r="Y19" s="33"/>
    </row>
    <row r="20" spans="1:25" ht="15.75" customHeight="1" x14ac:dyDescent="0.25">
      <c r="A20" s="11"/>
      <c r="B20" s="28">
        <v>7.125</v>
      </c>
      <c r="C20" s="515">
        <v>101.32650000000002</v>
      </c>
      <c r="D20" s="368">
        <v>101.02650000000003</v>
      </c>
      <c r="E20" s="14"/>
      <c r="F20" s="629" t="s">
        <v>45</v>
      </c>
      <c r="G20" s="630"/>
      <c r="H20" s="35">
        <v>-3</v>
      </c>
      <c r="I20" s="35">
        <v>-3.25</v>
      </c>
      <c r="J20" s="29">
        <v>-3.5</v>
      </c>
      <c r="K20" s="35">
        <v>-3.75</v>
      </c>
      <c r="L20" s="35">
        <v>-4.25</v>
      </c>
      <c r="M20" s="35">
        <v>-5.625</v>
      </c>
      <c r="N20" s="35">
        <v>-6.625</v>
      </c>
      <c r="O20" s="40" t="e">
        <v>#N/A</v>
      </c>
      <c r="P20" s="39" t="e">
        <v>#N/A</v>
      </c>
      <c r="Q20" s="31"/>
      <c r="R20" s="14"/>
      <c r="S20" s="627" t="s">
        <v>46</v>
      </c>
      <c r="T20" s="628"/>
      <c r="U20" s="32" t="s">
        <v>32</v>
      </c>
      <c r="V20" s="362">
        <f>'Feed(WS)'!$Q$163</f>
        <v>0</v>
      </c>
      <c r="W20" s="14"/>
      <c r="X20" s="33"/>
      <c r="Y20" s="33"/>
    </row>
    <row r="21" spans="1:25" ht="15.75" customHeight="1" x14ac:dyDescent="0.25">
      <c r="A21" s="11"/>
      <c r="B21" s="28">
        <v>7.25</v>
      </c>
      <c r="C21" s="515">
        <v>101.68550000000002</v>
      </c>
      <c r="D21" s="368">
        <v>101.38550000000002</v>
      </c>
      <c r="E21" s="14"/>
      <c r="F21" s="682"/>
      <c r="G21" s="683"/>
      <c r="H21" s="683"/>
      <c r="I21" s="683"/>
      <c r="J21" s="683"/>
      <c r="K21" s="683"/>
      <c r="L21" s="683"/>
      <c r="M21" s="683"/>
      <c r="N21" s="683"/>
      <c r="O21" s="683"/>
      <c r="P21" s="684"/>
      <c r="Q21" s="31"/>
      <c r="R21" s="14"/>
      <c r="S21" s="627" t="s">
        <v>47</v>
      </c>
      <c r="T21" s="628"/>
      <c r="U21" s="32" t="s">
        <v>32</v>
      </c>
      <c r="V21" s="362" t="e">
        <f>IF(OR($U$11="", $U$21=""), "",
   INDEX($H$39:$P$49,
         MATCH($U$21,$F$39:$F$49,0),
         MATCH($U$11,$H$10:$P$10,0)))</f>
        <v>#N/A</v>
      </c>
      <c r="W21" s="14"/>
      <c r="X21" s="33"/>
    </row>
    <row r="22" spans="1:25" x14ac:dyDescent="0.25">
      <c r="A22" s="11"/>
      <c r="B22" s="28">
        <v>7.375</v>
      </c>
      <c r="C22" s="515">
        <v>102.03750000000002</v>
      </c>
      <c r="D22" s="368">
        <v>101.73750000000003</v>
      </c>
      <c r="E22" s="14"/>
      <c r="F22" s="658" t="s">
        <v>28</v>
      </c>
      <c r="G22" s="659"/>
      <c r="H22" s="659"/>
      <c r="I22" s="659"/>
      <c r="J22" s="659"/>
      <c r="K22" s="659"/>
      <c r="L22" s="659"/>
      <c r="M22" s="659"/>
      <c r="N22" s="659"/>
      <c r="O22" s="659"/>
      <c r="P22" s="660"/>
      <c r="Q22" s="14"/>
      <c r="R22" s="14"/>
      <c r="S22" s="627" t="s">
        <v>48</v>
      </c>
      <c r="T22" s="628"/>
      <c r="U22" s="32" t="s">
        <v>32</v>
      </c>
      <c r="V22" s="362" t="e">
        <f>IF(OR($U$11="", $U$22=""), "",
   INDEX($H$33:$P$37,
         MATCH($U$22,$F$33:$F$37,0),
         MATCH($U$11,$H$10:$P$10,0)))</f>
        <v>#N/A</v>
      </c>
      <c r="W22" s="14"/>
    </row>
    <row r="23" spans="1:25" ht="15.75" customHeight="1" x14ac:dyDescent="0.25">
      <c r="A23" s="11"/>
      <c r="B23" s="28">
        <v>7.4989999999999997</v>
      </c>
      <c r="C23" s="515">
        <v>102.38150000000002</v>
      </c>
      <c r="D23" s="368">
        <v>102.08150000000002</v>
      </c>
      <c r="E23" s="14"/>
      <c r="F23" s="631" t="s">
        <v>49</v>
      </c>
      <c r="G23" s="632"/>
      <c r="H23" s="44">
        <v>0.5</v>
      </c>
      <c r="I23" s="44">
        <v>0.5</v>
      </c>
      <c r="J23" s="44">
        <v>0.5</v>
      </c>
      <c r="K23" s="44">
        <v>0.5</v>
      </c>
      <c r="L23" s="44">
        <v>0.5</v>
      </c>
      <c r="M23" s="44">
        <v>0.5</v>
      </c>
      <c r="N23" s="44">
        <v>0.5</v>
      </c>
      <c r="O23" s="44">
        <v>0.5</v>
      </c>
      <c r="P23" s="45" t="e">
        <v>#N/A</v>
      </c>
      <c r="Q23" s="14"/>
      <c r="R23" s="14"/>
      <c r="S23" s="627" t="s">
        <v>50</v>
      </c>
      <c r="T23" s="628"/>
      <c r="U23" s="32" t="s">
        <v>32</v>
      </c>
      <c r="V23" s="362">
        <f>'Feed(WS)'!$P$168</f>
        <v>0</v>
      </c>
      <c r="W23" s="14"/>
      <c r="Y23" s="46"/>
    </row>
    <row r="24" spans="1:25" ht="15.75" customHeight="1" x14ac:dyDescent="0.25">
      <c r="A24" s="11"/>
      <c r="B24" s="28">
        <v>7.625</v>
      </c>
      <c r="C24" s="515">
        <v>102.71750000000003</v>
      </c>
      <c r="D24" s="368">
        <v>102.41750000000003</v>
      </c>
      <c r="E24" s="14"/>
      <c r="F24" s="625" t="s">
        <v>29</v>
      </c>
      <c r="G24" s="626"/>
      <c r="H24" s="44">
        <v>0</v>
      </c>
      <c r="I24" s="44">
        <v>0</v>
      </c>
      <c r="J24" s="44">
        <v>0</v>
      </c>
      <c r="K24" s="44">
        <v>0</v>
      </c>
      <c r="L24" s="44">
        <v>0</v>
      </c>
      <c r="M24" s="44">
        <v>0</v>
      </c>
      <c r="N24" s="44">
        <v>0</v>
      </c>
      <c r="O24" s="44">
        <v>0</v>
      </c>
      <c r="P24" s="45">
        <v>0</v>
      </c>
      <c r="Q24" s="14"/>
      <c r="R24" s="14"/>
      <c r="S24" s="627" t="s">
        <v>51</v>
      </c>
      <c r="T24" s="628"/>
      <c r="U24" s="32" t="s">
        <v>32</v>
      </c>
      <c r="V24" s="362">
        <f>'Feed(WS)'!$P$163</f>
        <v>0</v>
      </c>
      <c r="W24" s="14"/>
      <c r="Y24" s="46"/>
    </row>
    <row r="25" spans="1:25" ht="15.75" customHeight="1" x14ac:dyDescent="0.25">
      <c r="A25" s="11"/>
      <c r="B25" s="28">
        <v>7.75</v>
      </c>
      <c r="C25" s="515">
        <v>103.04550000000002</v>
      </c>
      <c r="D25" s="368">
        <v>102.74550000000002</v>
      </c>
      <c r="E25" s="14"/>
      <c r="F25" s="635" t="s">
        <v>52</v>
      </c>
      <c r="G25" s="636"/>
      <c r="H25" s="636"/>
      <c r="I25" s="636"/>
      <c r="J25" s="636"/>
      <c r="K25" s="636"/>
      <c r="L25" s="636"/>
      <c r="M25" s="636"/>
      <c r="N25" s="636"/>
      <c r="O25" s="636"/>
      <c r="P25" s="637"/>
      <c r="Q25" s="14"/>
      <c r="R25" s="14"/>
      <c r="S25" s="627" t="s">
        <v>53</v>
      </c>
      <c r="T25" s="628"/>
      <c r="U25" s="32" t="s">
        <v>32</v>
      </c>
      <c r="V25" s="362">
        <f>'Feed(WS)'!$O$163</f>
        <v>0</v>
      </c>
      <c r="W25" s="14"/>
    </row>
    <row r="26" spans="1:25" x14ac:dyDescent="0.25">
      <c r="A26" s="11"/>
      <c r="B26" s="28">
        <v>7.875</v>
      </c>
      <c r="C26" s="515">
        <v>103.36550000000003</v>
      </c>
      <c r="D26" s="368">
        <v>103.06550000000003</v>
      </c>
      <c r="E26" s="14"/>
      <c r="F26" s="625" t="s">
        <v>55</v>
      </c>
      <c r="G26" s="626"/>
      <c r="H26" s="44">
        <v>-0.25</v>
      </c>
      <c r="I26" s="44">
        <v>-0.25</v>
      </c>
      <c r="J26" s="44">
        <v>-0.25</v>
      </c>
      <c r="K26" s="44">
        <v>-0.25</v>
      </c>
      <c r="L26" s="44">
        <v>-0.25</v>
      </c>
      <c r="M26" s="44">
        <v>-0.25</v>
      </c>
      <c r="N26" s="44">
        <v>-0.25</v>
      </c>
      <c r="O26" s="44">
        <v>-0.25</v>
      </c>
      <c r="P26" s="45">
        <v>-0.5</v>
      </c>
      <c r="Q26" s="14"/>
      <c r="R26" s="14"/>
      <c r="S26" s="627" t="s">
        <v>56</v>
      </c>
      <c r="T26" s="628"/>
      <c r="U26" s="32" t="s">
        <v>32</v>
      </c>
      <c r="V26" s="362">
        <f>'Feed(WS)'!$Q$168</f>
        <v>0</v>
      </c>
      <c r="W26" s="14"/>
    </row>
    <row r="27" spans="1:25" ht="15.75" customHeight="1" x14ac:dyDescent="0.25">
      <c r="A27" s="11"/>
      <c r="B27" s="28">
        <v>7.9989999999999997</v>
      </c>
      <c r="C27" s="515">
        <v>103.64650000000002</v>
      </c>
      <c r="D27" s="368">
        <v>103.34650000000002</v>
      </c>
      <c r="E27" s="14"/>
      <c r="F27" s="625" t="s">
        <v>58</v>
      </c>
      <c r="G27" s="626"/>
      <c r="H27" s="44">
        <v>-0.25</v>
      </c>
      <c r="I27" s="44">
        <v>-0.25</v>
      </c>
      <c r="J27" s="44">
        <v>-0.25</v>
      </c>
      <c r="K27" s="44">
        <v>-0.25</v>
      </c>
      <c r="L27" s="44">
        <v>-0.25</v>
      </c>
      <c r="M27" s="44">
        <v>-0.25</v>
      </c>
      <c r="N27" s="44">
        <v>-0.25</v>
      </c>
      <c r="O27" s="44">
        <v>-0.25</v>
      </c>
      <c r="P27" s="45">
        <v>-0.5</v>
      </c>
      <c r="Q27" s="14"/>
      <c r="R27" s="14"/>
      <c r="S27" s="627" t="s">
        <v>59</v>
      </c>
      <c r="T27" s="628"/>
      <c r="U27" s="32" t="s">
        <v>32</v>
      </c>
      <c r="V27" s="362">
        <f>IF($U$11="", "",
   IF($U$27="Choose a Selection",0,
      INDEX($H$57:$P$68,
           MATCH($U$27,$F$57:$F$68,0),
           MATCH($U$11,$H$10:$P$10,0))))</f>
        <v>0</v>
      </c>
      <c r="W27" s="14"/>
      <c r="X27" s="3"/>
    </row>
    <row r="28" spans="1:25" ht="15.75" customHeight="1" x14ac:dyDescent="0.25">
      <c r="A28" s="11"/>
      <c r="B28" s="28">
        <v>8.125</v>
      </c>
      <c r="C28" s="515">
        <v>103.89650000000002</v>
      </c>
      <c r="D28" s="368">
        <v>103.59650000000002</v>
      </c>
      <c r="E28" s="14"/>
      <c r="F28" s="625" t="s">
        <v>60</v>
      </c>
      <c r="G28" s="626"/>
      <c r="H28" s="44">
        <v>-0.375</v>
      </c>
      <c r="I28" s="44">
        <v>-0.5</v>
      </c>
      <c r="J28" s="44">
        <v>-0.5</v>
      </c>
      <c r="K28" s="44">
        <v>-0.5</v>
      </c>
      <c r="L28" s="44">
        <v>-0.75</v>
      </c>
      <c r="M28" s="44">
        <v>-1</v>
      </c>
      <c r="N28" s="44">
        <v>-1.5</v>
      </c>
      <c r="O28" s="44" t="e">
        <v>#N/A</v>
      </c>
      <c r="P28" s="45" t="e">
        <v>#N/A</v>
      </c>
      <c r="Q28" s="14"/>
      <c r="R28" s="14"/>
      <c r="S28" s="627" t="s">
        <v>61</v>
      </c>
      <c r="T28" s="628"/>
      <c r="U28" s="32"/>
      <c r="V28" s="362">
        <v>0</v>
      </c>
      <c r="W28" s="14"/>
      <c r="X28" s="3"/>
    </row>
    <row r="29" spans="1:25" x14ac:dyDescent="0.25">
      <c r="A29" s="11"/>
      <c r="B29" s="28">
        <v>8.25</v>
      </c>
      <c r="C29" s="515">
        <v>104.14650000000002</v>
      </c>
      <c r="D29" s="368">
        <v>103.84650000000002</v>
      </c>
      <c r="E29" s="14"/>
      <c r="F29" s="625" t="s">
        <v>62</v>
      </c>
      <c r="G29" s="626"/>
      <c r="H29" s="44">
        <v>-0.125</v>
      </c>
      <c r="I29" s="44">
        <v>-0.25</v>
      </c>
      <c r="J29" s="44">
        <v>-0.25</v>
      </c>
      <c r="K29" s="44">
        <v>-0.25</v>
      </c>
      <c r="L29" s="44">
        <v>-0.25</v>
      </c>
      <c r="M29" s="44">
        <v>-0.25</v>
      </c>
      <c r="N29" s="44">
        <v>-0.375</v>
      </c>
      <c r="O29" s="44">
        <v>-0.375</v>
      </c>
      <c r="P29" s="45">
        <v>-0.5</v>
      </c>
      <c r="Q29" s="14"/>
      <c r="R29" s="14"/>
      <c r="S29" s="627" t="s">
        <v>63</v>
      </c>
      <c r="T29" s="628"/>
      <c r="U29" s="32" t="s">
        <v>32</v>
      </c>
      <c r="V29" s="362">
        <v>0</v>
      </c>
      <c r="W29" s="14"/>
      <c r="X29" s="47"/>
    </row>
    <row r="30" spans="1:25" x14ac:dyDescent="0.25">
      <c r="A30" s="11"/>
      <c r="B30" s="28">
        <v>8.375</v>
      </c>
      <c r="C30" s="515">
        <v>104.39650000000002</v>
      </c>
      <c r="D30" s="368">
        <v>104.09650000000002</v>
      </c>
      <c r="E30" s="14"/>
      <c r="F30" s="625" t="s">
        <v>64</v>
      </c>
      <c r="G30" s="626"/>
      <c r="H30" s="44">
        <v>-0.75</v>
      </c>
      <c r="I30" s="44">
        <v>-0.75</v>
      </c>
      <c r="J30" s="44">
        <v>-0.75</v>
      </c>
      <c r="K30" s="44">
        <v>-0.75</v>
      </c>
      <c r="L30" s="44">
        <v>-1</v>
      </c>
      <c r="M30" s="44">
        <v>-1.5</v>
      </c>
      <c r="N30" s="44">
        <v>-2</v>
      </c>
      <c r="O30" s="44" t="e">
        <v>#N/A</v>
      </c>
      <c r="P30" s="45" t="e">
        <v>#N/A</v>
      </c>
      <c r="Q30" s="14"/>
      <c r="R30" s="14"/>
      <c r="S30" s="627" t="s">
        <v>65</v>
      </c>
      <c r="T30" s="628"/>
      <c r="U30" s="48" t="s">
        <v>66</v>
      </c>
      <c r="V30" s="362" t="e">
        <f>'Feed(WS)'!$R$168</f>
        <v>#N/A</v>
      </c>
      <c r="W30" s="14"/>
    </row>
    <row r="31" spans="1:25" x14ac:dyDescent="0.25">
      <c r="A31" s="11"/>
      <c r="B31" s="28">
        <v>8.4990000000000006</v>
      </c>
      <c r="C31" s="515">
        <v>104.64650000000002</v>
      </c>
      <c r="D31" s="368">
        <v>104.34650000000002</v>
      </c>
      <c r="E31" s="14"/>
      <c r="F31" s="625" t="s">
        <v>739</v>
      </c>
      <c r="G31" s="626"/>
      <c r="H31" s="44">
        <v>0.25</v>
      </c>
      <c r="I31" s="44">
        <v>0.25</v>
      </c>
      <c r="J31" s="44">
        <v>0.25</v>
      </c>
      <c r="K31" s="44">
        <v>0.25</v>
      </c>
      <c r="L31" s="44">
        <v>0.25</v>
      </c>
      <c r="M31" s="44">
        <v>0.25</v>
      </c>
      <c r="N31" s="44">
        <v>0.25</v>
      </c>
      <c r="O31" s="44">
        <v>0.25</v>
      </c>
      <c r="P31" s="45">
        <v>0.25</v>
      </c>
      <c r="Q31" s="14"/>
      <c r="R31" s="14"/>
      <c r="S31" s="627" t="s">
        <v>67</v>
      </c>
      <c r="T31" s="628"/>
      <c r="U31" s="48" t="s">
        <v>32</v>
      </c>
      <c r="V31" s="362" cm="1">
        <f t="array" ref="V31">IF(OR(
      AND(OR($U$31='Feed(WS)'!$R$4:$R$5), $U$22&lt;&gt;'Feed(WS)'!$J$3),
      AND(OR($U$31='Feed(WS)'!$R$4:$R$5), $U$25&lt;&gt;'Feed(WS)'!$M$4),
      AND(OR($U$31='Feed(WS)'!$R$4:$R$5), $U$23&lt;&gt;'Feed(WS)'!$L$3:$L$4),
   ),
   NA(),
   0)</f>
        <v>0</v>
      </c>
      <c r="W31" s="14"/>
    </row>
    <row r="32" spans="1:25" x14ac:dyDescent="0.25">
      <c r="A32" s="11"/>
      <c r="B32" s="28">
        <v>8.625</v>
      </c>
      <c r="C32" s="515">
        <v>104.89650000000002</v>
      </c>
      <c r="D32" s="368">
        <v>104.59650000000002</v>
      </c>
      <c r="E32" s="14"/>
      <c r="F32" s="635" t="s">
        <v>48</v>
      </c>
      <c r="G32" s="636"/>
      <c r="H32" s="636"/>
      <c r="I32" s="636"/>
      <c r="J32" s="636"/>
      <c r="K32" s="636"/>
      <c r="L32" s="636"/>
      <c r="M32" s="636"/>
      <c r="N32" s="636"/>
      <c r="O32" s="636"/>
      <c r="P32" s="637"/>
      <c r="Q32" s="14"/>
      <c r="R32" s="14"/>
      <c r="S32" s="627" t="s">
        <v>70</v>
      </c>
      <c r="T32" s="628"/>
      <c r="U32" s="48" t="s">
        <v>32</v>
      </c>
      <c r="V32" s="362">
        <f>IF($U$11="","",
   IF($U$32="","",IF(OR($U$32="No",$U$32="Choose a Selection"),0,INDEX($H$70:$P$76,
              MATCH(IF($U$32="Yes",$S$32,$U$32),$F$70:$F$76,0),
              MATCH($U$11,$H$10:$P$10,0)))))</f>
        <v>0</v>
      </c>
      <c r="W32" s="14"/>
    </row>
    <row r="33" spans="1:25" ht="15.75" customHeight="1" x14ac:dyDescent="0.25">
      <c r="A33" s="11"/>
      <c r="B33" s="28">
        <v>8.75</v>
      </c>
      <c r="C33" s="515">
        <v>105.08450000000002</v>
      </c>
      <c r="D33" s="368">
        <v>104.78450000000002</v>
      </c>
      <c r="E33" s="14"/>
      <c r="F33" s="631" t="s">
        <v>69</v>
      </c>
      <c r="G33" s="632"/>
      <c r="H33" s="44">
        <v>0</v>
      </c>
      <c r="I33" s="44">
        <v>0</v>
      </c>
      <c r="J33" s="44">
        <v>0</v>
      </c>
      <c r="K33" s="44">
        <v>0</v>
      </c>
      <c r="L33" s="44">
        <v>0</v>
      </c>
      <c r="M33" s="44">
        <v>0</v>
      </c>
      <c r="N33" s="44">
        <v>0</v>
      </c>
      <c r="O33" s="44">
        <v>0</v>
      </c>
      <c r="P33" s="45">
        <v>0</v>
      </c>
      <c r="Q33" s="14"/>
      <c r="R33" s="14"/>
      <c r="S33" s="627" t="s">
        <v>72</v>
      </c>
      <c r="T33" s="628"/>
      <c r="U33" s="49" t="s">
        <v>32</v>
      </c>
      <c r="V33" s="362">
        <f>'Feed(WS)'!$B$67</f>
        <v>0</v>
      </c>
      <c r="W33" s="14"/>
    </row>
    <row r="34" spans="1:25" x14ac:dyDescent="0.25">
      <c r="A34" s="11"/>
      <c r="B34" s="28">
        <v>8.875</v>
      </c>
      <c r="C34" s="515">
        <v>105.27150000000002</v>
      </c>
      <c r="D34" s="368">
        <v>104.97150000000002</v>
      </c>
      <c r="E34" s="14"/>
      <c r="F34" s="631" t="s">
        <v>71</v>
      </c>
      <c r="G34" s="632"/>
      <c r="H34" s="44">
        <v>0</v>
      </c>
      <c r="I34" s="44">
        <v>0</v>
      </c>
      <c r="J34" s="44">
        <v>0</v>
      </c>
      <c r="K34" s="44">
        <v>0</v>
      </c>
      <c r="L34" s="44">
        <v>0</v>
      </c>
      <c r="M34" s="44">
        <v>0</v>
      </c>
      <c r="N34" s="44">
        <v>-0.125</v>
      </c>
      <c r="O34" s="44">
        <v>-0.125</v>
      </c>
      <c r="P34" s="45" t="e">
        <v>#N/A</v>
      </c>
      <c r="Q34" s="14"/>
      <c r="R34" s="14"/>
      <c r="S34" s="627" t="s">
        <v>771</v>
      </c>
      <c r="T34" s="628"/>
      <c r="U34" s="48" t="s">
        <v>32</v>
      </c>
      <c r="V34" s="362" t="str">
        <f>IF(U34="Tier 1 States",V78,IF(U34="Tier 2 States",V80,IF(U34="Tier 3 States",V82,"0.000")))</f>
        <v>0.000</v>
      </c>
      <c r="W34" s="14"/>
    </row>
    <row r="35" spans="1:25" ht="15.75" customHeight="1" x14ac:dyDescent="0.25">
      <c r="A35" s="11"/>
      <c r="B35" s="28">
        <v>8.9990000000000006</v>
      </c>
      <c r="C35" s="515">
        <v>105.45950000000002</v>
      </c>
      <c r="D35" s="368">
        <v>105.15950000000002</v>
      </c>
      <c r="E35" s="14"/>
      <c r="F35" s="631" t="s">
        <v>73</v>
      </c>
      <c r="G35" s="632"/>
      <c r="H35" s="44">
        <v>0</v>
      </c>
      <c r="I35" s="44">
        <v>-0.125</v>
      </c>
      <c r="J35" s="44">
        <v>-0.125</v>
      </c>
      <c r="K35" s="44">
        <v>-0.25</v>
      </c>
      <c r="L35" s="44">
        <v>-0.25</v>
      </c>
      <c r="M35" s="44">
        <v>-0.25</v>
      </c>
      <c r="N35" s="44">
        <v>-0.5</v>
      </c>
      <c r="O35" s="44" t="e">
        <v>#N/A</v>
      </c>
      <c r="P35" s="45" t="e">
        <v>#N/A</v>
      </c>
      <c r="Q35" s="14"/>
      <c r="R35" s="14"/>
      <c r="S35" s="627" t="str">
        <f>IF('Feed(WS)'!Z1=0,"",INDEX('Feed(WS)'!$AA$1:$AA$3,MATCH('Feed(WS)'!Z1,'Feed(WS)'!$Z$1:$Z$3,0)))</f>
        <v xml:space="preserve">Special </v>
      </c>
      <c r="T35" s="628"/>
      <c r="U35" s="49" t="str">
        <f>IF(V35=FALSE,"Not Applicable",'Feed(WS)'!Y5)</f>
        <v>Not Applicable</v>
      </c>
      <c r="V35" s="362" t="b">
        <f>'Feed(WS)'!$Z$1</f>
        <v>0</v>
      </c>
      <c r="W35" s="14"/>
    </row>
    <row r="36" spans="1:25" x14ac:dyDescent="0.25">
      <c r="A36" s="11"/>
      <c r="B36" s="28">
        <v>9.125</v>
      </c>
      <c r="C36" s="515">
        <v>105.64650000000002</v>
      </c>
      <c r="D36" s="368">
        <v>105.34650000000002</v>
      </c>
      <c r="E36" s="14"/>
      <c r="F36" s="631" t="s">
        <v>76</v>
      </c>
      <c r="G36" s="632"/>
      <c r="H36" s="44">
        <v>-0.25</v>
      </c>
      <c r="I36" s="44">
        <v>-0.25</v>
      </c>
      <c r="J36" s="44">
        <v>-0.25</v>
      </c>
      <c r="K36" s="44">
        <v>-0.25</v>
      </c>
      <c r="L36" s="44">
        <v>-0.25</v>
      </c>
      <c r="M36" s="44">
        <v>-0.5</v>
      </c>
      <c r="N36" s="44">
        <v>-0.5</v>
      </c>
      <c r="O36" s="44" t="e">
        <v>#N/A</v>
      </c>
      <c r="P36" s="45" t="e">
        <v>#N/A</v>
      </c>
      <c r="Q36" s="14"/>
      <c r="R36" s="14"/>
      <c r="S36" s="691" t="s">
        <v>78</v>
      </c>
      <c r="T36" s="692"/>
      <c r="U36" s="693"/>
      <c r="V36" s="469" t="e">
        <f>SUM($V$12:$V$35)</f>
        <v>#N/A</v>
      </c>
      <c r="W36" s="14"/>
    </row>
    <row r="37" spans="1:25" ht="15.75" customHeight="1" x14ac:dyDescent="0.25">
      <c r="A37" s="11"/>
      <c r="B37" s="28">
        <v>9.25</v>
      </c>
      <c r="C37" s="515">
        <v>105.83450000000002</v>
      </c>
      <c r="D37" s="368">
        <v>105.53450000000002</v>
      </c>
      <c r="E37" s="14"/>
      <c r="F37" s="631" t="s">
        <v>77</v>
      </c>
      <c r="G37" s="632"/>
      <c r="H37" s="44">
        <v>-0.5</v>
      </c>
      <c r="I37" s="44">
        <v>-0.5</v>
      </c>
      <c r="J37" s="44">
        <v>-0.625</v>
      </c>
      <c r="K37" s="44">
        <v>-0.625</v>
      </c>
      <c r="L37" s="44">
        <v>-0.75</v>
      </c>
      <c r="M37" s="44">
        <v>-1</v>
      </c>
      <c r="N37" s="44" t="e">
        <v>#N/A</v>
      </c>
      <c r="O37" s="44" t="e">
        <v>#N/A</v>
      </c>
      <c r="P37" s="45" t="e">
        <v>#N/A</v>
      </c>
      <c r="Q37" s="50"/>
      <c r="R37" s="14"/>
      <c r="S37" s="691" t="s">
        <v>80</v>
      </c>
      <c r="T37" s="692"/>
      <c r="U37" s="693"/>
      <c r="V37" s="469" t="str">
        <f>IFERROR(INDEX(C10:D50, MATCH(U10, B10:B50, 0), MATCH(U17, C10:D10, 0)), "#N/A")</f>
        <v>#N/A</v>
      </c>
      <c r="W37" s="14"/>
      <c r="Y37" s="47"/>
    </row>
    <row r="38" spans="1:25" ht="15.75" customHeight="1" x14ac:dyDescent="0.25">
      <c r="A38" s="11"/>
      <c r="B38" s="28">
        <v>9.375</v>
      </c>
      <c r="C38" s="515">
        <v>106.02150000000002</v>
      </c>
      <c r="D38" s="368">
        <v>105.72150000000002</v>
      </c>
      <c r="E38" s="14"/>
      <c r="F38" s="642" t="s">
        <v>79</v>
      </c>
      <c r="G38" s="643"/>
      <c r="H38" s="643"/>
      <c r="I38" s="643"/>
      <c r="J38" s="643"/>
      <c r="K38" s="643"/>
      <c r="L38" s="643"/>
      <c r="M38" s="643"/>
      <c r="N38" s="643"/>
      <c r="O38" s="643"/>
      <c r="P38" s="644"/>
      <c r="Q38" s="14"/>
      <c r="R38" s="14"/>
      <c r="S38" s="691" t="s">
        <v>82</v>
      </c>
      <c r="T38" s="692"/>
      <c r="U38" s="693"/>
      <c r="V38" s="469" t="str">
        <f>IFERROR(IF(AND(OR(U19='Feed(WS)'!P6),NonQM!U10&lt;NonQM!T69),"Minimum Rate",IF(AND($U$10&lt;&gt;'Feed(WS)'!$K$134,V39=T66),NA(),V37+V36+S84)),"Minimum Rate")</f>
        <v>Minimum Rate</v>
      </c>
      <c r="W38" s="14"/>
    </row>
    <row r="39" spans="1:25" x14ac:dyDescent="0.25">
      <c r="A39" s="11"/>
      <c r="B39" s="28">
        <v>9.4990000000000006</v>
      </c>
      <c r="C39" s="515">
        <v>106.20950000000002</v>
      </c>
      <c r="D39" s="368">
        <v>105.90950000000002</v>
      </c>
      <c r="E39" s="14"/>
      <c r="F39" s="631" t="s">
        <v>81</v>
      </c>
      <c r="G39" s="632"/>
      <c r="H39" s="44">
        <v>-0.5</v>
      </c>
      <c r="I39" s="44">
        <v>-0.75</v>
      </c>
      <c r="J39" s="44">
        <v>-0.75</v>
      </c>
      <c r="K39" s="44">
        <v>-0.75</v>
      </c>
      <c r="L39" s="44">
        <v>-0.75</v>
      </c>
      <c r="M39" s="44">
        <v>-0.875</v>
      </c>
      <c r="N39" s="44">
        <v>-1</v>
      </c>
      <c r="O39" s="44">
        <v>-1.25</v>
      </c>
      <c r="P39" s="45">
        <v>-1.25</v>
      </c>
      <c r="Q39" s="14"/>
      <c r="R39" s="14"/>
      <c r="S39" s="691" t="s">
        <v>84</v>
      </c>
      <c r="T39" s="692"/>
      <c r="U39" s="693"/>
      <c r="V39" s="469" t="e">
        <f>IF(OR('Feed(WS)'!$E$147=0, ISERROR('Feed(WS)'!$E$147)), NA(), 'Feed(WS)'!$E$147)</f>
        <v>#N/A</v>
      </c>
      <c r="W39" s="14"/>
    </row>
    <row r="40" spans="1:25" ht="14.25" customHeight="1" x14ac:dyDescent="0.25">
      <c r="A40" s="11"/>
      <c r="B40" s="28">
        <v>9.625</v>
      </c>
      <c r="C40" s="515">
        <v>106.39650000000002</v>
      </c>
      <c r="D40" s="368">
        <v>106.09650000000002</v>
      </c>
      <c r="E40" s="14"/>
      <c r="F40" s="631" t="s">
        <v>83</v>
      </c>
      <c r="G40" s="632"/>
      <c r="H40" s="44">
        <v>0</v>
      </c>
      <c r="I40" s="44">
        <v>0</v>
      </c>
      <c r="J40" s="44">
        <v>-0.125</v>
      </c>
      <c r="K40" s="44">
        <v>-0.125</v>
      </c>
      <c r="L40" s="44">
        <v>-0.125</v>
      </c>
      <c r="M40" s="44">
        <v>-0.125</v>
      </c>
      <c r="N40" s="44">
        <v>-0.25</v>
      </c>
      <c r="O40" s="44">
        <v>-0.25</v>
      </c>
      <c r="P40" s="45">
        <v>-0.25</v>
      </c>
      <c r="Q40" s="14"/>
      <c r="R40" s="14"/>
      <c r="S40" s="694" t="s">
        <v>86</v>
      </c>
      <c r="T40" s="695"/>
      <c r="U40" s="696"/>
      <c r="V40" s="51" t="e">
        <f>IF(OR($V$36="#NA",$V$37="#NA"),NA(),IF(AND($U$10&lt;&gt;'Feed(WS)'!$K$134,$V$39=$T$66),NA(),IF($V$38&gt;$V$39,$V$39,$V$38)))</f>
        <v>#N/A</v>
      </c>
      <c r="W40" s="14"/>
    </row>
    <row r="41" spans="1:25" ht="14.25" customHeight="1" thickBot="1" x14ac:dyDescent="0.3">
      <c r="A41" s="11"/>
      <c r="B41" s="28">
        <v>9.75</v>
      </c>
      <c r="C41" s="515">
        <v>106.58450000000002</v>
      </c>
      <c r="D41" s="368">
        <v>106.28450000000002</v>
      </c>
      <c r="E41" s="14"/>
      <c r="F41" s="631" t="s">
        <v>777</v>
      </c>
      <c r="G41" s="632"/>
      <c r="H41" s="44">
        <v>0.125</v>
      </c>
      <c r="I41" s="44">
        <v>0.125</v>
      </c>
      <c r="J41" s="44">
        <v>0.125</v>
      </c>
      <c r="K41" s="44">
        <v>0.125</v>
      </c>
      <c r="L41" s="44">
        <v>0.125</v>
      </c>
      <c r="M41" s="44">
        <v>0.125</v>
      </c>
      <c r="N41" s="44">
        <v>0.125</v>
      </c>
      <c r="O41" s="44">
        <v>0</v>
      </c>
      <c r="P41" s="45">
        <v>0</v>
      </c>
      <c r="Q41" s="14"/>
      <c r="R41" s="14"/>
      <c r="S41" s="697" t="str" cm="1">
        <f t="array" ref="S41">IF(OR($U$11:$U$25="Choose a Selection"),"",CONCATENATE('Feed(WS)'!$I$134," ",'Feed(WS)'!$K$134,"%"&amp;" @ "&amp;'Feed(WS)'!$L$134))</f>
        <v/>
      </c>
      <c r="T41" s="698"/>
      <c r="U41" s="698"/>
      <c r="V41" s="699"/>
      <c r="W41" s="14"/>
    </row>
    <row r="42" spans="1:25" ht="15.75" customHeight="1" thickBot="1" x14ac:dyDescent="0.3">
      <c r="A42" s="11"/>
      <c r="B42" s="28">
        <v>9.875</v>
      </c>
      <c r="C42" s="515">
        <v>106.70950000000002</v>
      </c>
      <c r="D42" s="368">
        <v>106.40950000000002</v>
      </c>
      <c r="E42" s="14"/>
      <c r="F42" s="631" t="s">
        <v>778</v>
      </c>
      <c r="G42" s="632"/>
      <c r="H42" s="44">
        <v>0.375</v>
      </c>
      <c r="I42" s="44">
        <v>0.375</v>
      </c>
      <c r="J42" s="44">
        <v>0.375</v>
      </c>
      <c r="K42" s="44">
        <v>0.375</v>
      </c>
      <c r="L42" s="44">
        <v>0.375</v>
      </c>
      <c r="M42" s="44">
        <v>0.25</v>
      </c>
      <c r="N42" s="44">
        <v>0.25</v>
      </c>
      <c r="O42" s="44">
        <v>0.25</v>
      </c>
      <c r="P42" s="45">
        <v>0.25</v>
      </c>
      <c r="Q42" s="14"/>
      <c r="R42" s="14"/>
      <c r="S42" s="633" t="s">
        <v>761</v>
      </c>
      <c r="T42" s="667"/>
      <c r="U42" s="667"/>
      <c r="V42" s="634"/>
      <c r="W42" s="14"/>
    </row>
    <row r="43" spans="1:25" ht="14.25" customHeight="1" thickBot="1" x14ac:dyDescent="0.3">
      <c r="A43" s="11"/>
      <c r="B43" s="28">
        <v>9.9990000000000006</v>
      </c>
      <c r="C43" s="515">
        <v>106.83450000000002</v>
      </c>
      <c r="D43" s="368">
        <v>106.53450000000002</v>
      </c>
      <c r="E43" s="14"/>
      <c r="F43" s="638" t="s">
        <v>87</v>
      </c>
      <c r="G43" s="639"/>
      <c r="H43" s="44">
        <v>0.625</v>
      </c>
      <c r="I43" s="44">
        <v>0.375</v>
      </c>
      <c r="J43" s="44">
        <v>0.375</v>
      </c>
      <c r="K43" s="44">
        <v>0.25</v>
      </c>
      <c r="L43" s="44">
        <v>0.25</v>
      </c>
      <c r="M43" s="44">
        <v>0.25</v>
      </c>
      <c r="N43" s="44">
        <v>0.25</v>
      </c>
      <c r="O43" s="44">
        <v>0</v>
      </c>
      <c r="P43" s="45">
        <v>0</v>
      </c>
      <c r="Q43" s="52"/>
      <c r="R43" s="14"/>
      <c r="S43" s="633" t="s">
        <v>762</v>
      </c>
      <c r="T43" s="634"/>
      <c r="U43" s="668">
        <v>500000</v>
      </c>
      <c r="V43" s="669"/>
      <c r="W43" s="14"/>
    </row>
    <row r="44" spans="1:25" ht="15.75" customHeight="1" thickBot="1" x14ac:dyDescent="0.3">
      <c r="A44" s="11"/>
      <c r="B44" s="28">
        <v>10.125</v>
      </c>
      <c r="C44" s="515">
        <v>106.95950000000002</v>
      </c>
      <c r="D44" s="368">
        <v>106.65950000000002</v>
      </c>
      <c r="E44" s="14"/>
      <c r="F44" s="638" t="s">
        <v>88</v>
      </c>
      <c r="G44" s="639"/>
      <c r="H44" s="44">
        <v>0.25</v>
      </c>
      <c r="I44" s="44">
        <v>0.25</v>
      </c>
      <c r="J44" s="44">
        <v>0.125</v>
      </c>
      <c r="K44" s="44">
        <v>0.125</v>
      </c>
      <c r="L44" s="44">
        <v>0.125</v>
      </c>
      <c r="M44" s="44">
        <v>0.125</v>
      </c>
      <c r="N44" s="44">
        <v>0.125</v>
      </c>
      <c r="O44" s="44">
        <v>0</v>
      </c>
      <c r="P44" s="45">
        <v>0</v>
      </c>
      <c r="Q44" s="14"/>
      <c r="R44" s="14"/>
      <c r="S44" s="633" t="s">
        <v>763</v>
      </c>
      <c r="T44" s="634"/>
      <c r="U44" s="483">
        <v>2.25</v>
      </c>
      <c r="V44" s="484">
        <f>U44/100*U43</f>
        <v>11250</v>
      </c>
      <c r="W44" s="14"/>
    </row>
    <row r="45" spans="1:25" ht="14.25" customHeight="1" thickBot="1" x14ac:dyDescent="0.3">
      <c r="A45" s="11"/>
      <c r="B45" s="28">
        <v>10.25</v>
      </c>
      <c r="C45" s="515">
        <v>107.08450000000002</v>
      </c>
      <c r="D45" s="368">
        <v>106.78450000000002</v>
      </c>
      <c r="E45" s="14"/>
      <c r="F45" s="638" t="s">
        <v>90</v>
      </c>
      <c r="G45" s="639"/>
      <c r="H45" s="44">
        <v>-0.25</v>
      </c>
      <c r="I45" s="44">
        <v>-0.25</v>
      </c>
      <c r="J45" s="44">
        <v>-0.25</v>
      </c>
      <c r="K45" s="44">
        <v>-0.25</v>
      </c>
      <c r="L45" s="44">
        <v>-0.25</v>
      </c>
      <c r="M45" s="44">
        <v>-0.25</v>
      </c>
      <c r="N45" s="44">
        <v>-0.375</v>
      </c>
      <c r="O45" s="44">
        <v>-0.5</v>
      </c>
      <c r="P45" s="45" t="e">
        <v>#N/A</v>
      </c>
      <c r="Q45" s="14"/>
      <c r="R45" s="14"/>
      <c r="S45" s="633" t="s">
        <v>764</v>
      </c>
      <c r="T45" s="634"/>
      <c r="U45" s="482"/>
      <c r="V45" s="485">
        <f>U45/U43*100</f>
        <v>0</v>
      </c>
      <c r="W45" s="14"/>
    </row>
    <row r="46" spans="1:25" ht="14.25" customHeight="1" thickBot="1" x14ac:dyDescent="0.3">
      <c r="A46" s="11"/>
      <c r="B46" s="28">
        <v>10.375</v>
      </c>
      <c r="C46" s="515">
        <v>107.20950000000002</v>
      </c>
      <c r="D46" s="368">
        <v>106.90950000000002</v>
      </c>
      <c r="E46" s="14"/>
      <c r="F46" s="638" t="s">
        <v>91</v>
      </c>
      <c r="G46" s="639"/>
      <c r="H46" s="44">
        <v>-0.5</v>
      </c>
      <c r="I46" s="44">
        <v>-0.5</v>
      </c>
      <c r="J46" s="44">
        <v>-0.5</v>
      </c>
      <c r="K46" s="44">
        <v>-0.5</v>
      </c>
      <c r="L46" s="44">
        <v>-0.5</v>
      </c>
      <c r="M46" s="44">
        <v>-0.5</v>
      </c>
      <c r="N46" s="44">
        <v>-0.5</v>
      </c>
      <c r="O46" s="44" t="e">
        <v>#N/A</v>
      </c>
      <c r="P46" s="45" t="e">
        <v>#N/A</v>
      </c>
      <c r="Q46" s="14"/>
      <c r="R46" s="14"/>
      <c r="S46" s="633" t="s">
        <v>765</v>
      </c>
      <c r="T46" s="634"/>
      <c r="U46" s="617">
        <f>U44+V45</f>
        <v>2.25</v>
      </c>
      <c r="V46" s="618"/>
      <c r="W46" s="14"/>
    </row>
    <row r="47" spans="1:25" ht="14.25" customHeight="1" thickBot="1" x14ac:dyDescent="0.3">
      <c r="A47" s="11"/>
      <c r="B47" s="28">
        <v>10.499000000000001</v>
      </c>
      <c r="C47" s="515">
        <v>107.33450000000002</v>
      </c>
      <c r="D47" s="368">
        <v>107.03450000000002</v>
      </c>
      <c r="E47" s="14"/>
      <c r="F47" s="638" t="s">
        <v>92</v>
      </c>
      <c r="G47" s="639"/>
      <c r="H47" s="44">
        <v>-1</v>
      </c>
      <c r="I47" s="44">
        <v>-1</v>
      </c>
      <c r="J47" s="44">
        <v>-1</v>
      </c>
      <c r="K47" s="44">
        <v>-1</v>
      </c>
      <c r="L47" s="44">
        <v>-1</v>
      </c>
      <c r="M47" s="44">
        <v>-1</v>
      </c>
      <c r="N47" s="44">
        <v>-1</v>
      </c>
      <c r="O47" s="44" t="e">
        <v>#N/A</v>
      </c>
      <c r="P47" s="45" t="e">
        <v>#N/A</v>
      </c>
      <c r="Q47" s="14"/>
      <c r="R47" s="14"/>
      <c r="S47" s="700" t="s">
        <v>766</v>
      </c>
      <c r="T47" s="701"/>
      <c r="U47" s="702" t="e">
        <f>V40-U46</f>
        <v>#N/A</v>
      </c>
      <c r="V47" s="703"/>
      <c r="W47" s="14"/>
    </row>
    <row r="48" spans="1:25" ht="15.75" customHeight="1" x14ac:dyDescent="0.25">
      <c r="A48" s="11"/>
      <c r="B48" s="28">
        <v>10.625</v>
      </c>
      <c r="C48" s="515">
        <v>107.45950000000002</v>
      </c>
      <c r="D48" s="368">
        <v>107.15950000000002</v>
      </c>
      <c r="E48" s="14"/>
      <c r="F48" s="638" t="s">
        <v>93</v>
      </c>
      <c r="G48" s="639"/>
      <c r="H48" s="44">
        <v>-2</v>
      </c>
      <c r="I48" s="44">
        <v>-2</v>
      </c>
      <c r="J48" s="44">
        <v>-2</v>
      </c>
      <c r="K48" s="44">
        <v>-2</v>
      </c>
      <c r="L48" s="44">
        <v>-2</v>
      </c>
      <c r="M48" s="44" t="e">
        <v>#N/A</v>
      </c>
      <c r="N48" s="44" t="e">
        <v>#N/A</v>
      </c>
      <c r="O48" s="44" t="e">
        <v>#N/A</v>
      </c>
      <c r="P48" s="45" t="e">
        <v>#N/A</v>
      </c>
      <c r="Q48" s="14"/>
      <c r="R48" s="14"/>
      <c r="S48" s="707" t="s">
        <v>937</v>
      </c>
      <c r="T48" s="708"/>
      <c r="U48" s="708"/>
      <c r="V48" s="709"/>
      <c r="W48" s="14"/>
    </row>
    <row r="49" spans="1:23" ht="15.75" customHeight="1" x14ac:dyDescent="0.25">
      <c r="A49" s="11"/>
      <c r="B49" s="28"/>
      <c r="C49" s="28"/>
      <c r="D49" s="28"/>
      <c r="E49" s="14"/>
      <c r="F49" s="638" t="s">
        <v>94</v>
      </c>
      <c r="G49" s="639"/>
      <c r="H49" s="44">
        <v>-3</v>
      </c>
      <c r="I49" s="44">
        <v>-3</v>
      </c>
      <c r="J49" s="44">
        <v>-3</v>
      </c>
      <c r="K49" s="44">
        <v>-3</v>
      </c>
      <c r="L49" s="44" t="e">
        <v>#N/A</v>
      </c>
      <c r="M49" s="44" t="e">
        <v>#N/A</v>
      </c>
      <c r="N49" s="44" t="e">
        <v>#N/A</v>
      </c>
      <c r="O49" s="44" t="e">
        <v>#N/A</v>
      </c>
      <c r="P49" s="45" t="e">
        <v>#N/A</v>
      </c>
      <c r="Q49" s="14"/>
      <c r="R49" s="14"/>
      <c r="S49" s="707"/>
      <c r="T49" s="708"/>
      <c r="U49" s="708"/>
      <c r="V49" s="709"/>
      <c r="W49" s="14"/>
    </row>
    <row r="50" spans="1:23" x14ac:dyDescent="0.25">
      <c r="A50" s="11"/>
      <c r="B50" s="28"/>
      <c r="C50" s="28"/>
      <c r="D50" s="28"/>
      <c r="E50" s="14"/>
      <c r="F50" s="642" t="s">
        <v>96</v>
      </c>
      <c r="G50" s="643"/>
      <c r="H50" s="643"/>
      <c r="I50" s="643"/>
      <c r="J50" s="643"/>
      <c r="K50" s="643"/>
      <c r="L50" s="643"/>
      <c r="M50" s="643"/>
      <c r="N50" s="643"/>
      <c r="O50" s="643"/>
      <c r="P50" s="644"/>
      <c r="Q50" s="14"/>
      <c r="R50" s="14"/>
      <c r="S50" s="707"/>
      <c r="T50" s="708"/>
      <c r="U50" s="708"/>
      <c r="V50" s="709"/>
      <c r="W50" s="53"/>
    </row>
    <row r="51" spans="1:23" ht="13.5" customHeight="1" x14ac:dyDescent="0.25">
      <c r="A51" s="14"/>
      <c r="B51" s="735"/>
      <c r="C51" s="736"/>
      <c r="D51" s="736"/>
      <c r="E51" s="54"/>
      <c r="F51" s="631" t="s">
        <v>97</v>
      </c>
      <c r="G51" s="632"/>
      <c r="H51" s="44">
        <v>0</v>
      </c>
      <c r="I51" s="44">
        <v>0</v>
      </c>
      <c r="J51" s="44">
        <v>-0.125</v>
      </c>
      <c r="K51" s="44">
        <v>-0.375</v>
      </c>
      <c r="L51" s="44">
        <v>-0.375</v>
      </c>
      <c r="M51" s="44">
        <v>-0.375</v>
      </c>
      <c r="N51" s="44">
        <v>-0.375</v>
      </c>
      <c r="O51" s="44">
        <v>-0.5</v>
      </c>
      <c r="P51" s="45" t="e">
        <v>#N/A</v>
      </c>
      <c r="Q51" s="14"/>
      <c r="R51" s="54"/>
      <c r="S51" s="707" t="s">
        <v>95</v>
      </c>
      <c r="T51" s="708"/>
      <c r="U51" s="708"/>
      <c r="V51" s="709"/>
      <c r="W51" s="56"/>
    </row>
    <row r="52" spans="1:23" x14ac:dyDescent="0.25">
      <c r="A52" s="14"/>
      <c r="B52" s="737"/>
      <c r="C52" s="738"/>
      <c r="D52" s="738"/>
      <c r="E52" s="14"/>
      <c r="F52" s="631" t="s">
        <v>98</v>
      </c>
      <c r="G52" s="632"/>
      <c r="H52" s="44">
        <v>-0.25</v>
      </c>
      <c r="I52" s="44">
        <v>-0.25</v>
      </c>
      <c r="J52" s="44">
        <v>-0.25</v>
      </c>
      <c r="K52" s="44">
        <v>-0.5</v>
      </c>
      <c r="L52" s="44">
        <v>-0.5</v>
      </c>
      <c r="M52" s="44">
        <v>-0.5</v>
      </c>
      <c r="N52" s="44">
        <v>-0.5</v>
      </c>
      <c r="O52" s="44">
        <v>-0.5</v>
      </c>
      <c r="P52" s="45" t="e">
        <v>#N/A</v>
      </c>
      <c r="Q52" s="14"/>
      <c r="R52" s="14"/>
      <c r="S52" s="707"/>
      <c r="T52" s="708"/>
      <c r="U52" s="708"/>
      <c r="V52" s="709"/>
      <c r="W52" s="56"/>
    </row>
    <row r="53" spans="1:23" x14ac:dyDescent="0.25">
      <c r="A53" s="14"/>
      <c r="B53" s="704"/>
      <c r="C53" s="705"/>
      <c r="D53" s="705"/>
      <c r="E53" s="14"/>
      <c r="F53" s="631" t="s">
        <v>99</v>
      </c>
      <c r="G53" s="632"/>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704"/>
      <c r="C54" s="705"/>
      <c r="D54" s="705"/>
      <c r="E54" s="60"/>
      <c r="F54" s="631" t="s">
        <v>100</v>
      </c>
      <c r="G54" s="632"/>
      <c r="H54" s="44">
        <v>0</v>
      </c>
      <c r="I54" s="44">
        <v>0</v>
      </c>
      <c r="J54" s="44">
        <v>0</v>
      </c>
      <c r="K54" s="44">
        <v>0</v>
      </c>
      <c r="L54" s="44">
        <v>0</v>
      </c>
      <c r="M54" s="44">
        <v>0</v>
      </c>
      <c r="N54" s="44">
        <v>0</v>
      </c>
      <c r="O54" s="44">
        <v>0</v>
      </c>
      <c r="P54" s="45" t="e">
        <v>#N/A</v>
      </c>
      <c r="Q54" s="14"/>
      <c r="R54" s="14"/>
      <c r="S54" s="704"/>
      <c r="T54" s="705"/>
      <c r="U54" s="705"/>
      <c r="V54" s="706"/>
      <c r="W54" s="56"/>
    </row>
    <row r="55" spans="1:23" x14ac:dyDescent="0.25">
      <c r="A55" s="14"/>
      <c r="B55" s="41" t="s">
        <v>65</v>
      </c>
      <c r="C55" s="43" t="s">
        <v>102</v>
      </c>
      <c r="D55" s="43"/>
      <c r="E55" s="14"/>
      <c r="F55" s="631" t="s">
        <v>101</v>
      </c>
      <c r="G55" s="632"/>
      <c r="H55" s="44">
        <v>-0.125</v>
      </c>
      <c r="I55" s="44">
        <v>-0.125</v>
      </c>
      <c r="J55" s="44">
        <v>-0.25</v>
      </c>
      <c r="K55" s="44">
        <v>-0.25</v>
      </c>
      <c r="L55" s="44">
        <v>-0.25</v>
      </c>
      <c r="M55" s="44">
        <v>-0.5</v>
      </c>
      <c r="N55" s="44">
        <v>-0.625</v>
      </c>
      <c r="O55" s="44" t="e">
        <v>#N/A</v>
      </c>
      <c r="P55" s="45" t="e">
        <v>#N/A</v>
      </c>
      <c r="Q55" s="14"/>
      <c r="R55" s="14"/>
      <c r="S55" s="635" t="s">
        <v>104</v>
      </c>
      <c r="T55" s="637"/>
      <c r="U55" s="41" t="s">
        <v>105</v>
      </c>
      <c r="V55" s="43" t="s">
        <v>106</v>
      </c>
      <c r="W55" s="56"/>
    </row>
    <row r="56" spans="1:23" ht="15.75" thickBot="1" x14ac:dyDescent="0.3">
      <c r="A56" s="14"/>
      <c r="B56" s="61" t="s">
        <v>107</v>
      </c>
      <c r="C56" s="62">
        <v>-0.25</v>
      </c>
      <c r="D56" s="62"/>
      <c r="E56" s="64"/>
      <c r="F56" s="645" t="s">
        <v>59</v>
      </c>
      <c r="G56" s="646"/>
      <c r="H56" s="646"/>
      <c r="I56" s="646"/>
      <c r="J56" s="646"/>
      <c r="K56" s="646"/>
      <c r="L56" s="646"/>
      <c r="M56" s="646"/>
      <c r="N56" s="646"/>
      <c r="O56" s="646"/>
      <c r="P56" s="646"/>
      <c r="Q56" s="14"/>
      <c r="R56" s="14"/>
      <c r="S56" s="65" t="s">
        <v>109</v>
      </c>
      <c r="T56" s="66">
        <v>102</v>
      </c>
      <c r="U56" s="67" t="s">
        <v>110</v>
      </c>
      <c r="V56" s="68" t="s">
        <v>111</v>
      </c>
      <c r="W56" s="56"/>
    </row>
    <row r="57" spans="1:23" x14ac:dyDescent="0.25">
      <c r="A57" s="14"/>
      <c r="B57" s="61" t="s">
        <v>112</v>
      </c>
      <c r="C57" s="62">
        <v>-0.5</v>
      </c>
      <c r="D57" s="62"/>
      <c r="E57" s="14"/>
      <c r="F57" s="652" t="s">
        <v>103</v>
      </c>
      <c r="G57" s="653"/>
      <c r="H57" s="259">
        <v>-1</v>
      </c>
      <c r="I57" s="259">
        <v>-1</v>
      </c>
      <c r="J57" s="259">
        <v>-1</v>
      </c>
      <c r="K57" s="259">
        <v>-1</v>
      </c>
      <c r="L57" s="259">
        <v>-1</v>
      </c>
      <c r="M57" s="259">
        <v>-1</v>
      </c>
      <c r="N57" s="259">
        <v>-1</v>
      </c>
      <c r="O57" s="259" t="e">
        <v>#N/A</v>
      </c>
      <c r="P57" s="260" t="e">
        <v>#N/A</v>
      </c>
      <c r="Q57" s="70"/>
      <c r="R57" s="14"/>
      <c r="S57" s="65" t="s">
        <v>91</v>
      </c>
      <c r="T57" s="71">
        <v>101</v>
      </c>
      <c r="U57" s="67" t="s">
        <v>114</v>
      </c>
      <c r="V57" s="68" t="s">
        <v>115</v>
      </c>
      <c r="W57" s="56"/>
    </row>
    <row r="58" spans="1:23" x14ac:dyDescent="0.25">
      <c r="A58" s="14"/>
      <c r="B58" s="739" t="s">
        <v>116</v>
      </c>
      <c r="C58" s="740"/>
      <c r="D58" s="740"/>
      <c r="E58" s="14"/>
      <c r="F58" s="640" t="s">
        <v>108</v>
      </c>
      <c r="G58" s="641"/>
      <c r="H58" s="129">
        <v>-1.75</v>
      </c>
      <c r="I58" s="129">
        <v>-1.75</v>
      </c>
      <c r="J58" s="129">
        <v>-1.75</v>
      </c>
      <c r="K58" s="129">
        <v>-1.75</v>
      </c>
      <c r="L58" s="129">
        <v>-1.75</v>
      </c>
      <c r="M58" s="129">
        <v>-1.75</v>
      </c>
      <c r="N58" s="129">
        <v>-1.75</v>
      </c>
      <c r="O58" s="129" t="e">
        <v>#N/A</v>
      </c>
      <c r="P58" s="45" t="e">
        <v>#N/A</v>
      </c>
      <c r="Q58" s="70"/>
      <c r="R58" s="54"/>
      <c r="S58" s="65" t="s">
        <v>118</v>
      </c>
      <c r="T58" s="71">
        <v>101</v>
      </c>
      <c r="U58" s="67" t="s">
        <v>119</v>
      </c>
      <c r="V58" s="68" t="s">
        <v>120</v>
      </c>
      <c r="W58" s="56"/>
    </row>
    <row r="59" spans="1:23" ht="15" customHeight="1" x14ac:dyDescent="0.25">
      <c r="A59" s="14"/>
      <c r="B59" s="741" t="s">
        <v>121</v>
      </c>
      <c r="C59" s="742"/>
      <c r="D59" s="742"/>
      <c r="E59" s="14"/>
      <c r="F59" s="640" t="s">
        <v>113</v>
      </c>
      <c r="G59" s="641"/>
      <c r="H59" s="129">
        <v>-1</v>
      </c>
      <c r="I59" s="129">
        <v>-1</v>
      </c>
      <c r="J59" s="129">
        <v>-1</v>
      </c>
      <c r="K59" s="129">
        <v>-1</v>
      </c>
      <c r="L59" s="129">
        <v>-1</v>
      </c>
      <c r="M59" s="129">
        <v>-1</v>
      </c>
      <c r="N59" s="129">
        <v>-1</v>
      </c>
      <c r="O59" s="129">
        <v>-1</v>
      </c>
      <c r="P59" s="45" t="e">
        <v>#N/A</v>
      </c>
      <c r="Q59" s="70"/>
      <c r="R59" s="54"/>
      <c r="S59" s="65" t="s">
        <v>123</v>
      </c>
      <c r="T59" s="71">
        <v>100.5</v>
      </c>
      <c r="U59" s="67" t="s">
        <v>124</v>
      </c>
      <c r="V59" s="73" t="s">
        <v>125</v>
      </c>
      <c r="W59" s="56"/>
    </row>
    <row r="60" spans="1:23" ht="15" customHeight="1" x14ac:dyDescent="0.25">
      <c r="A60" s="14"/>
      <c r="B60" s="741"/>
      <c r="C60" s="742"/>
      <c r="D60" s="742"/>
      <c r="E60" s="14"/>
      <c r="F60" s="640" t="s">
        <v>117</v>
      </c>
      <c r="G60" s="641"/>
      <c r="H60" s="129">
        <v>-0.25</v>
      </c>
      <c r="I60" s="129">
        <v>-0.25</v>
      </c>
      <c r="J60" s="129">
        <v>-0.25</v>
      </c>
      <c r="K60" s="129">
        <v>-0.25</v>
      </c>
      <c r="L60" s="129">
        <v>-0.25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741"/>
      <c r="C61" s="742"/>
      <c r="D61" s="742"/>
      <c r="E61" s="14"/>
      <c r="F61" s="640" t="s">
        <v>122</v>
      </c>
      <c r="G61" s="641"/>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741"/>
      <c r="C62" s="742"/>
      <c r="D62" s="742"/>
      <c r="E62" s="14"/>
      <c r="F62" s="640" t="s">
        <v>126</v>
      </c>
      <c r="G62" s="641"/>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741"/>
      <c r="C63" s="742"/>
      <c r="D63" s="742"/>
      <c r="E63" s="14"/>
      <c r="F63" s="640" t="s">
        <v>130</v>
      </c>
      <c r="G63" s="641"/>
      <c r="H63" s="129">
        <v>0.75</v>
      </c>
      <c r="I63" s="129">
        <v>0.625</v>
      </c>
      <c r="J63" s="129">
        <v>0.625</v>
      </c>
      <c r="K63" s="129">
        <v>0.625</v>
      </c>
      <c r="L63" s="129">
        <v>0.625</v>
      </c>
      <c r="M63" s="129">
        <v>0.625</v>
      </c>
      <c r="N63" s="129">
        <v>0.625</v>
      </c>
      <c r="O63" s="129">
        <v>0.5</v>
      </c>
      <c r="P63" s="45" t="e">
        <v>#N/A</v>
      </c>
      <c r="Q63" s="79"/>
      <c r="R63" s="54"/>
      <c r="S63" s="65" t="s">
        <v>892</v>
      </c>
      <c r="T63" s="71">
        <v>102</v>
      </c>
      <c r="U63" s="80" t="s">
        <v>136</v>
      </c>
      <c r="V63" s="81">
        <v>0.25</v>
      </c>
      <c r="W63" s="56"/>
    </row>
    <row r="64" spans="1:23" x14ac:dyDescent="0.25">
      <c r="A64" s="14"/>
      <c r="B64" s="741"/>
      <c r="C64" s="742"/>
      <c r="D64" s="742"/>
      <c r="E64" s="14"/>
      <c r="F64" s="640" t="s">
        <v>132</v>
      </c>
      <c r="G64" s="641"/>
      <c r="H64" s="129">
        <v>-0.75</v>
      </c>
      <c r="I64" s="129">
        <v>-0.75</v>
      </c>
      <c r="J64" s="129">
        <v>-0.75</v>
      </c>
      <c r="K64" s="129">
        <v>-0.75</v>
      </c>
      <c r="L64" s="129">
        <v>-0.75</v>
      </c>
      <c r="M64" s="129">
        <v>-0.75</v>
      </c>
      <c r="N64" s="129">
        <v>-0.75</v>
      </c>
      <c r="O64" s="129">
        <v>-0.75</v>
      </c>
      <c r="P64" s="45" t="e">
        <v>#N/A</v>
      </c>
      <c r="Q64" s="82"/>
      <c r="R64" s="54"/>
      <c r="S64" s="65" t="s">
        <v>893</v>
      </c>
      <c r="T64" s="71">
        <v>102.5</v>
      </c>
      <c r="U64" s="80" t="s">
        <v>54</v>
      </c>
      <c r="V64" s="81">
        <v>0</v>
      </c>
      <c r="W64" s="56"/>
    </row>
    <row r="65" spans="1:34" x14ac:dyDescent="0.25">
      <c r="A65" s="14"/>
      <c r="B65" s="741"/>
      <c r="C65" s="742"/>
      <c r="D65" s="742"/>
      <c r="E65" s="14"/>
      <c r="F65" s="640" t="s">
        <v>134</v>
      </c>
      <c r="G65" s="641"/>
      <c r="H65" s="129">
        <v>0</v>
      </c>
      <c r="I65" s="129">
        <v>0</v>
      </c>
      <c r="J65" s="129">
        <v>0</v>
      </c>
      <c r="K65" s="129">
        <v>0</v>
      </c>
      <c r="L65" s="129">
        <v>0</v>
      </c>
      <c r="M65" s="129">
        <v>0</v>
      </c>
      <c r="N65" s="129">
        <v>0</v>
      </c>
      <c r="O65" s="129">
        <v>-0.25</v>
      </c>
      <c r="P65" s="45" t="e">
        <v>#N/A</v>
      </c>
      <c r="Q65" s="52"/>
      <c r="R65" s="14"/>
      <c r="S65" s="642" t="s">
        <v>135</v>
      </c>
      <c r="T65" s="690"/>
      <c r="U65" s="80" t="s">
        <v>141</v>
      </c>
      <c r="V65" s="81">
        <v>-0.5</v>
      </c>
      <c r="W65" s="56"/>
    </row>
    <row r="66" spans="1:34" ht="15.75" customHeight="1" x14ac:dyDescent="0.25">
      <c r="A66" s="14"/>
      <c r="B66" s="741"/>
      <c r="C66" s="742"/>
      <c r="D66" s="742"/>
      <c r="E66" s="14"/>
      <c r="F66" s="640" t="s">
        <v>137</v>
      </c>
      <c r="G66" s="641"/>
      <c r="H66" s="129">
        <v>0.375</v>
      </c>
      <c r="I66" s="129">
        <v>0.375</v>
      </c>
      <c r="J66" s="129">
        <v>0.375</v>
      </c>
      <c r="K66" s="129">
        <v>0.375</v>
      </c>
      <c r="L66" s="129">
        <v>0.375</v>
      </c>
      <c r="M66" s="129">
        <v>0.375</v>
      </c>
      <c r="N66" s="129">
        <v>0.375</v>
      </c>
      <c r="O66" s="129">
        <v>0.375</v>
      </c>
      <c r="P66" s="45" t="e">
        <v>#N/A</v>
      </c>
      <c r="Q66" s="52"/>
      <c r="R66" s="14"/>
      <c r="S66" s="65" t="s">
        <v>138</v>
      </c>
      <c r="T66" s="76">
        <v>99.75</v>
      </c>
      <c r="U66" s="86" t="s">
        <v>143</v>
      </c>
      <c r="V66" s="81">
        <v>0.25</v>
      </c>
      <c r="W66" s="14"/>
    </row>
    <row r="67" spans="1:34" ht="15.75" customHeight="1" x14ac:dyDescent="0.25">
      <c r="A67" s="14"/>
      <c r="B67" s="741"/>
      <c r="C67" s="742"/>
      <c r="D67" s="742"/>
      <c r="E67" s="14"/>
      <c r="F67" s="640" t="s">
        <v>139</v>
      </c>
      <c r="G67" s="641"/>
      <c r="H67" s="129">
        <v>0.625</v>
      </c>
      <c r="I67" s="129">
        <v>0.42499999999999999</v>
      </c>
      <c r="J67" s="129">
        <v>0.42499999999999999</v>
      </c>
      <c r="K67" s="129">
        <v>0.42499999999999999</v>
      </c>
      <c r="L67" s="129">
        <v>0.42499999999999999</v>
      </c>
      <c r="M67" s="129">
        <v>0.42499999999999999</v>
      </c>
      <c r="N67" s="129">
        <v>0.42499999999999999</v>
      </c>
      <c r="O67" s="129">
        <v>0.42499999999999999</v>
      </c>
      <c r="P67" s="45" t="e">
        <v>#N/A</v>
      </c>
      <c r="Q67" s="52"/>
      <c r="R67" s="14"/>
      <c r="S67" s="642" t="s">
        <v>140</v>
      </c>
      <c r="T67" s="690"/>
      <c r="U67" s="80" t="s">
        <v>145</v>
      </c>
      <c r="V67" s="81">
        <v>-0.5</v>
      </c>
      <c r="W67" s="14"/>
      <c r="Y67" s="3"/>
    </row>
    <row r="68" spans="1:34" ht="15.75" thickBot="1" x14ac:dyDescent="0.3">
      <c r="A68" s="14"/>
      <c r="B68" s="741"/>
      <c r="C68" s="742"/>
      <c r="D68" s="742"/>
      <c r="E68" s="14"/>
      <c r="F68" s="647" t="s">
        <v>142</v>
      </c>
      <c r="G68" s="648"/>
      <c r="H68" s="150">
        <v>1</v>
      </c>
      <c r="I68" s="150">
        <v>0.75</v>
      </c>
      <c r="J68" s="150">
        <v>0.75</v>
      </c>
      <c r="K68" s="150">
        <v>0.75</v>
      </c>
      <c r="L68" s="150">
        <v>0.75</v>
      </c>
      <c r="M68" s="150">
        <v>0.75</v>
      </c>
      <c r="N68" s="150">
        <v>0.75</v>
      </c>
      <c r="O68" s="150">
        <v>0.75</v>
      </c>
      <c r="P68" s="261" t="e">
        <v>#N/A</v>
      </c>
      <c r="Q68" s="14"/>
      <c r="R68" s="14"/>
      <c r="S68" s="83" t="s">
        <v>91</v>
      </c>
      <c r="T68" s="84">
        <v>6.625</v>
      </c>
      <c r="U68" s="80" t="s">
        <v>148</v>
      </c>
      <c r="V68" s="81">
        <v>0.25</v>
      </c>
      <c r="W68" s="14"/>
      <c r="Y68" s="3"/>
      <c r="AD68" s="3"/>
      <c r="AE68" s="3"/>
      <c r="AF68" s="3"/>
      <c r="AG68" s="3"/>
      <c r="AH68" s="3"/>
    </row>
    <row r="69" spans="1:34" x14ac:dyDescent="0.25">
      <c r="A69" s="14"/>
      <c r="B69" s="741"/>
      <c r="C69" s="742"/>
      <c r="D69" s="742"/>
      <c r="E69" s="14"/>
      <c r="F69" s="649" t="s">
        <v>144</v>
      </c>
      <c r="G69" s="650"/>
      <c r="H69" s="650"/>
      <c r="I69" s="650"/>
      <c r="J69" s="650"/>
      <c r="K69" s="650"/>
      <c r="L69" s="650"/>
      <c r="M69" s="650"/>
      <c r="N69" s="650"/>
      <c r="O69" s="650"/>
      <c r="P69" s="651"/>
      <c r="Q69" s="14"/>
      <c r="R69" s="14"/>
      <c r="S69" s="83" t="s">
        <v>123</v>
      </c>
      <c r="T69" s="84">
        <v>7.375</v>
      </c>
      <c r="U69" s="80" t="s">
        <v>151</v>
      </c>
      <c r="V69" s="81">
        <v>-0.5</v>
      </c>
      <c r="W69" s="14"/>
      <c r="X69" s="3"/>
      <c r="Y69" s="3"/>
      <c r="AD69" s="3"/>
      <c r="AE69" s="3"/>
      <c r="AF69" s="3"/>
      <c r="AG69" s="3"/>
      <c r="AH69" s="3"/>
    </row>
    <row r="70" spans="1:34" ht="15.75" customHeight="1" x14ac:dyDescent="0.25">
      <c r="A70" s="14"/>
      <c r="B70" s="741"/>
      <c r="C70" s="742"/>
      <c r="D70" s="742"/>
      <c r="E70" s="14"/>
      <c r="F70" s="640" t="s">
        <v>146</v>
      </c>
      <c r="G70" s="641"/>
      <c r="H70" s="434">
        <v>-0.25</v>
      </c>
      <c r="I70" s="434">
        <v>-0.25</v>
      </c>
      <c r="J70" s="434">
        <v>-0.5</v>
      </c>
      <c r="K70" s="434">
        <v>-0.5</v>
      </c>
      <c r="L70" s="434">
        <v>-0.5</v>
      </c>
      <c r="M70" s="434">
        <v>-0.5</v>
      </c>
      <c r="N70" s="434">
        <v>-0.5</v>
      </c>
      <c r="O70" s="434" t="e">
        <v>#N/A</v>
      </c>
      <c r="P70" s="462" t="e">
        <v>#N/A</v>
      </c>
      <c r="Q70" s="14"/>
      <c r="R70" s="14"/>
      <c r="S70" s="642" t="s">
        <v>147</v>
      </c>
      <c r="T70" s="690"/>
      <c r="U70" s="642" t="s">
        <v>164</v>
      </c>
      <c r="V70" s="643"/>
      <c r="W70" s="14"/>
      <c r="X70" s="3"/>
      <c r="Y70" s="3"/>
      <c r="AD70" s="3"/>
      <c r="AE70" s="3"/>
      <c r="AF70" s="3"/>
      <c r="AG70" s="3"/>
      <c r="AH70" s="3"/>
    </row>
    <row r="71" spans="1:34" ht="15" customHeight="1" x14ac:dyDescent="0.25">
      <c r="A71" s="14"/>
      <c r="B71" s="713" t="s">
        <v>154</v>
      </c>
      <c r="C71" s="714"/>
      <c r="D71" s="714"/>
      <c r="E71" s="14"/>
      <c r="F71" s="640" t="s">
        <v>149</v>
      </c>
      <c r="G71" s="641"/>
      <c r="H71" s="434">
        <v>-0.5</v>
      </c>
      <c r="I71" s="434">
        <v>-0.5</v>
      </c>
      <c r="J71" s="434">
        <v>-0.5</v>
      </c>
      <c r="K71" s="434">
        <v>-0.5</v>
      </c>
      <c r="L71" s="434">
        <v>-0.75</v>
      </c>
      <c r="M71" s="434">
        <v>-0.75</v>
      </c>
      <c r="N71" s="434">
        <v>-0.75</v>
      </c>
      <c r="O71" s="434">
        <v>-1</v>
      </c>
      <c r="P71" s="462" t="e">
        <v>#N/A</v>
      </c>
      <c r="Q71" s="14"/>
      <c r="R71" s="14"/>
      <c r="S71" s="687" t="s">
        <v>150</v>
      </c>
      <c r="T71" s="689"/>
      <c r="U71" s="687" t="s">
        <v>165</v>
      </c>
      <c r="V71" s="688"/>
      <c r="W71" s="14"/>
      <c r="X71" s="3"/>
      <c r="Y71" s="3"/>
      <c r="AD71" s="3"/>
      <c r="AE71" s="3"/>
      <c r="AF71" s="3"/>
      <c r="AG71" s="3"/>
      <c r="AH71" s="3"/>
    </row>
    <row r="72" spans="1:34" ht="17.25" customHeight="1" x14ac:dyDescent="0.25">
      <c r="A72" s="14"/>
      <c r="B72" s="743" t="s">
        <v>157</v>
      </c>
      <c r="C72" s="744"/>
      <c r="D72" s="744"/>
      <c r="E72" s="14"/>
      <c r="F72" s="640" t="s">
        <v>152</v>
      </c>
      <c r="G72" s="641"/>
      <c r="H72" s="434">
        <v>0</v>
      </c>
      <c r="I72" s="434">
        <v>0</v>
      </c>
      <c r="J72" s="434">
        <v>0</v>
      </c>
      <c r="K72" s="434">
        <v>0</v>
      </c>
      <c r="L72" s="434">
        <v>0</v>
      </c>
      <c r="M72" s="434">
        <v>0</v>
      </c>
      <c r="N72" s="434">
        <v>0</v>
      </c>
      <c r="O72" s="434">
        <v>-0.25</v>
      </c>
      <c r="P72" s="462">
        <v>-0.5</v>
      </c>
      <c r="Q72" s="14"/>
      <c r="R72" s="14"/>
      <c r="S72" s="687" t="s">
        <v>153</v>
      </c>
      <c r="T72" s="689"/>
      <c r="U72" s="687" t="s">
        <v>166</v>
      </c>
      <c r="V72" s="688"/>
      <c r="W72" s="14"/>
      <c r="X72" s="3"/>
      <c r="Y72" s="3"/>
      <c r="AD72" s="3"/>
      <c r="AE72" s="3"/>
      <c r="AF72" s="3"/>
      <c r="AG72" s="3"/>
      <c r="AH72" s="3"/>
    </row>
    <row r="73" spans="1:34" ht="15" customHeight="1" x14ac:dyDescent="0.25">
      <c r="A73" s="14"/>
      <c r="B73" s="713" t="s">
        <v>160</v>
      </c>
      <c r="C73" s="714"/>
      <c r="D73" s="714"/>
      <c r="E73" s="54"/>
      <c r="F73" s="640" t="s">
        <v>222</v>
      </c>
      <c r="G73" s="641"/>
      <c r="H73" s="434">
        <v>0</v>
      </c>
      <c r="I73" s="434">
        <v>0</v>
      </c>
      <c r="J73" s="434">
        <v>-0.125</v>
      </c>
      <c r="K73" s="434">
        <v>-0.25</v>
      </c>
      <c r="L73" s="434">
        <v>-0.25</v>
      </c>
      <c r="M73" s="434">
        <v>-0.25</v>
      </c>
      <c r="N73" s="434">
        <v>-0.25</v>
      </c>
      <c r="O73" s="434">
        <v>-0.5</v>
      </c>
      <c r="P73" s="462" t="e">
        <v>#N/A</v>
      </c>
      <c r="Q73" s="14"/>
      <c r="R73" s="14"/>
      <c r="S73" s="687" t="s">
        <v>156</v>
      </c>
      <c r="T73" s="689"/>
      <c r="U73" s="711" t="s">
        <v>168</v>
      </c>
      <c r="V73" s="712"/>
      <c r="W73" s="14"/>
      <c r="X73" s="3"/>
      <c r="Y73" s="3"/>
      <c r="AD73" s="3"/>
      <c r="AE73" s="3"/>
      <c r="AF73" s="3"/>
      <c r="AG73" s="3"/>
      <c r="AH73" s="3"/>
    </row>
    <row r="74" spans="1:34" ht="15" customHeight="1" x14ac:dyDescent="0.25">
      <c r="A74" s="14"/>
      <c r="B74" s="715" t="s">
        <v>666</v>
      </c>
      <c r="C74" s="715"/>
      <c r="D74" s="715"/>
      <c r="E74" s="54"/>
      <c r="F74" s="640" t="s">
        <v>229</v>
      </c>
      <c r="G74" s="641"/>
      <c r="H74" s="434">
        <v>-0.25</v>
      </c>
      <c r="I74" s="434">
        <v>-0.25</v>
      </c>
      <c r="J74" s="434">
        <v>-0.25</v>
      </c>
      <c r="K74" s="434">
        <v>-0.375</v>
      </c>
      <c r="L74" s="434">
        <v>-0.5</v>
      </c>
      <c r="M74" s="434">
        <v>-0.625</v>
      </c>
      <c r="N74" s="434">
        <v>-1</v>
      </c>
      <c r="O74" s="434" t="e">
        <v>#N/A</v>
      </c>
      <c r="P74" s="462" t="e">
        <v>#N/A</v>
      </c>
      <c r="Q74" s="14"/>
      <c r="R74" s="14"/>
      <c r="S74" s="687" t="s">
        <v>159</v>
      </c>
      <c r="T74" s="710"/>
      <c r="U74" s="93"/>
      <c r="V74" s="94"/>
      <c r="W74" s="14"/>
      <c r="X74" s="3"/>
      <c r="Y74" s="3"/>
      <c r="AD74" s="3"/>
      <c r="AE74" s="3"/>
      <c r="AF74" s="3"/>
      <c r="AG74" s="3"/>
      <c r="AH74" s="3"/>
    </row>
    <row r="75" spans="1:34" ht="15" customHeight="1" x14ac:dyDescent="0.25">
      <c r="A75" s="14"/>
      <c r="B75" s="715"/>
      <c r="C75" s="715"/>
      <c r="D75" s="715"/>
      <c r="E75" s="54"/>
      <c r="F75" s="640" t="s">
        <v>158</v>
      </c>
      <c r="G75" s="641"/>
      <c r="H75" s="434">
        <v>-2</v>
      </c>
      <c r="I75" s="434">
        <v>-2</v>
      </c>
      <c r="J75" s="434">
        <v>-2.5</v>
      </c>
      <c r="K75" s="434">
        <v>-2.5</v>
      </c>
      <c r="L75" s="434">
        <v>-2.5</v>
      </c>
      <c r="M75" s="434">
        <v>-2.5</v>
      </c>
      <c r="N75" s="434">
        <v>-2.75</v>
      </c>
      <c r="O75" s="434">
        <v>-3</v>
      </c>
      <c r="P75" s="462" t="e">
        <v>#N/A</v>
      </c>
      <c r="Q75" s="14"/>
      <c r="R75" s="14"/>
      <c r="S75" s="687" t="s">
        <v>162</v>
      </c>
      <c r="T75" s="710"/>
      <c r="U75" s="93"/>
      <c r="V75" s="94"/>
      <c r="W75" s="14"/>
      <c r="X75" s="3"/>
      <c r="Y75" s="3"/>
      <c r="AD75" s="3"/>
      <c r="AE75" s="3"/>
      <c r="AF75" s="3"/>
      <c r="AG75" s="3"/>
      <c r="AH75" s="3"/>
    </row>
    <row r="76" spans="1:34" ht="15" customHeight="1" thickBot="1" x14ac:dyDescent="0.3">
      <c r="A76" s="14"/>
      <c r="B76" s="715"/>
      <c r="C76" s="715"/>
      <c r="D76" s="715"/>
      <c r="E76" s="54"/>
      <c r="F76" s="640" t="s">
        <v>70</v>
      </c>
      <c r="G76" s="641"/>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715"/>
      <c r="C77" s="715"/>
      <c r="D77" s="715"/>
      <c r="E77" s="54"/>
      <c r="F77" s="642" t="s">
        <v>34</v>
      </c>
      <c r="G77" s="643"/>
      <c r="H77" s="643"/>
      <c r="I77" s="643"/>
      <c r="J77" s="643"/>
      <c r="K77" s="643"/>
      <c r="L77" s="643"/>
      <c r="M77" s="643"/>
      <c r="N77" s="643"/>
      <c r="O77" s="643"/>
      <c r="P77" s="644"/>
      <c r="Q77" s="14"/>
      <c r="R77" s="14"/>
      <c r="S77" s="649" t="s">
        <v>767</v>
      </c>
      <c r="T77" s="650"/>
      <c r="U77" s="650"/>
      <c r="V77" s="651"/>
      <c r="W77" s="14"/>
      <c r="X77" s="3"/>
      <c r="Y77" s="3"/>
      <c r="AD77" s="3"/>
      <c r="AE77" s="3"/>
      <c r="AF77" s="3"/>
      <c r="AG77" s="3"/>
      <c r="AH77" s="3"/>
    </row>
    <row r="78" spans="1:34" ht="15" customHeight="1" x14ac:dyDescent="0.25">
      <c r="A78" s="14"/>
      <c r="B78" s="715"/>
      <c r="C78" s="715"/>
      <c r="D78" s="715"/>
      <c r="E78" s="54"/>
      <c r="F78" s="640" t="s">
        <v>35</v>
      </c>
      <c r="G78" s="641"/>
      <c r="H78" s="44">
        <v>0</v>
      </c>
      <c r="I78" s="44">
        <v>0</v>
      </c>
      <c r="J78" s="44">
        <v>0</v>
      </c>
      <c r="K78" s="44">
        <v>0</v>
      </c>
      <c r="L78" s="44">
        <v>0</v>
      </c>
      <c r="M78" s="44">
        <v>0</v>
      </c>
      <c r="N78" s="44">
        <v>0</v>
      </c>
      <c r="O78" s="44">
        <v>0</v>
      </c>
      <c r="P78" s="45">
        <v>0</v>
      </c>
      <c r="Q78" s="14"/>
      <c r="R78" s="14"/>
      <c r="S78" s="722" t="str">
        <f>'Feed(WS)'!$U$161</f>
        <v>Tier 1 States</v>
      </c>
      <c r="T78" s="721" t="str">
        <f>'Feed(WS)'!$V$161</f>
        <v>AZ, CA, CO, CT, GA, HI, MA, MD, NJ, NV, OR, SC, UT, VA, WA</v>
      </c>
      <c r="U78" s="721"/>
      <c r="V78" s="719">
        <f>'Feed(WS)'!$W$161</f>
        <v>0</v>
      </c>
      <c r="W78" s="14"/>
      <c r="X78" s="3"/>
      <c r="Y78" s="3"/>
      <c r="AD78" s="3"/>
      <c r="AE78" s="3"/>
      <c r="AF78" s="3"/>
      <c r="AG78" s="3"/>
      <c r="AH78" s="3"/>
    </row>
    <row r="79" spans="1:34" ht="15" customHeight="1" x14ac:dyDescent="0.25">
      <c r="A79" s="14"/>
      <c r="B79" s="715"/>
      <c r="C79" s="715"/>
      <c r="D79" s="715"/>
      <c r="E79" s="54"/>
      <c r="F79" s="640" t="s">
        <v>167</v>
      </c>
      <c r="G79" s="641"/>
      <c r="H79" s="44">
        <v>-1.25</v>
      </c>
      <c r="I79" s="44">
        <v>-1.25</v>
      </c>
      <c r="J79" s="44">
        <v>-1.25</v>
      </c>
      <c r="K79" s="44">
        <v>-1.25</v>
      </c>
      <c r="L79" s="44">
        <v>-1.25</v>
      </c>
      <c r="M79" s="44">
        <v>-1.25</v>
      </c>
      <c r="N79" s="44">
        <v>-1.5</v>
      </c>
      <c r="O79" s="44">
        <v>-2</v>
      </c>
      <c r="P79" s="45" t="e">
        <v>#N/A</v>
      </c>
      <c r="Q79" s="14"/>
      <c r="R79" s="14"/>
      <c r="S79" s="722"/>
      <c r="T79" s="721"/>
      <c r="U79" s="721"/>
      <c r="V79" s="719"/>
      <c r="W79" s="14"/>
      <c r="AD79" s="3"/>
      <c r="AE79" s="3"/>
      <c r="AF79" s="3"/>
      <c r="AG79" s="3"/>
      <c r="AH79" s="3"/>
    </row>
    <row r="80" spans="1:34" ht="15" customHeight="1" x14ac:dyDescent="0.25">
      <c r="A80" s="14"/>
      <c r="B80" s="716"/>
      <c r="C80" s="717"/>
      <c r="D80" s="717"/>
      <c r="E80" s="54"/>
      <c r="F80" s="640" t="s">
        <v>169</v>
      </c>
      <c r="G80" s="641"/>
      <c r="H80" s="44">
        <v>-1.75</v>
      </c>
      <c r="I80" s="44">
        <v>-1.75</v>
      </c>
      <c r="J80" s="44">
        <v>-1.75</v>
      </c>
      <c r="K80" s="44">
        <v>-1.75</v>
      </c>
      <c r="L80" s="44">
        <v>-1.75</v>
      </c>
      <c r="M80" s="44">
        <v>-2</v>
      </c>
      <c r="N80" s="44">
        <v>-2</v>
      </c>
      <c r="O80" s="44" t="e">
        <v>#N/A</v>
      </c>
      <c r="P80" s="45" t="e">
        <v>#N/A</v>
      </c>
      <c r="Q80" s="14"/>
      <c r="R80" s="14"/>
      <c r="S80" s="722" t="str">
        <f>'Feed(WS)'!$U$162</f>
        <v>Tier 2 States</v>
      </c>
      <c r="T80" s="721" t="str">
        <f>'Feed(WS)'!$V$162</f>
        <v>DC, FL, ID, IL, IN, LA, MI, MN, MO, NC, OH, OK, PA, RI, TN, TX</v>
      </c>
      <c r="U80" s="721"/>
      <c r="V80" s="719">
        <f>'Feed(WS)'!$W$162</f>
        <v>0.15</v>
      </c>
      <c r="W80" s="14"/>
    </row>
    <row r="81" spans="1:23" ht="15" customHeight="1" x14ac:dyDescent="0.25">
      <c r="A81" s="14"/>
      <c r="B81" s="716"/>
      <c r="C81" s="717"/>
      <c r="D81" s="717"/>
      <c r="E81" s="54"/>
      <c r="F81" s="640" t="s">
        <v>170</v>
      </c>
      <c r="G81" s="641"/>
      <c r="H81" s="44">
        <v>-1.75</v>
      </c>
      <c r="I81" s="44">
        <v>-1.75</v>
      </c>
      <c r="J81" s="44">
        <v>-1.75</v>
      </c>
      <c r="K81" s="44">
        <v>-1.75</v>
      </c>
      <c r="L81" s="44">
        <v>-1.75</v>
      </c>
      <c r="M81" s="44">
        <v>-2</v>
      </c>
      <c r="N81" s="44">
        <v>-2</v>
      </c>
      <c r="O81" s="44" t="e">
        <v>#N/A</v>
      </c>
      <c r="P81" s="45" t="e">
        <v>#N/A</v>
      </c>
      <c r="Q81" s="14"/>
      <c r="R81" s="14"/>
      <c r="S81" s="722"/>
      <c r="T81" s="721"/>
      <c r="U81" s="721"/>
      <c r="V81" s="719"/>
      <c r="W81" s="14"/>
    </row>
    <row r="82" spans="1:23" ht="15" customHeight="1" x14ac:dyDescent="0.25">
      <c r="A82" s="14"/>
      <c r="B82" s="716"/>
      <c r="C82" s="717"/>
      <c r="D82" s="717"/>
      <c r="E82" s="54"/>
      <c r="F82" s="640" t="s">
        <v>171</v>
      </c>
      <c r="G82" s="641"/>
      <c r="H82" s="44">
        <v>0</v>
      </c>
      <c r="I82" s="44">
        <v>0</v>
      </c>
      <c r="J82" s="44">
        <v>0</v>
      </c>
      <c r="K82" s="44">
        <v>0</v>
      </c>
      <c r="L82" s="44">
        <v>0</v>
      </c>
      <c r="M82" s="44">
        <v>0</v>
      </c>
      <c r="N82" s="44">
        <v>0</v>
      </c>
      <c r="O82" s="44">
        <v>0</v>
      </c>
      <c r="P82" s="45">
        <v>0</v>
      </c>
      <c r="Q82" s="14"/>
      <c r="R82" s="14"/>
      <c r="S82" s="722" t="str">
        <f>'Feed(WS)'!$U$163</f>
        <v>Tier 3 States</v>
      </c>
      <c r="T82" s="721" t="str">
        <f>'Feed(WS)'!$V$163</f>
        <v>AK, AL, AR, DE, IA, KS, KY, ME, MS, MT, ND, NE, NH, NM, SD, VT WI, WV, WY</v>
      </c>
      <c r="U82" s="721"/>
      <c r="V82" s="719">
        <f>'Feed(WS)'!$W$163</f>
        <v>0.25</v>
      </c>
      <c r="W82" s="14"/>
    </row>
    <row r="83" spans="1:23" ht="15" customHeight="1" thickBot="1" x14ac:dyDescent="0.3">
      <c r="A83" s="14"/>
      <c r="B83" s="716"/>
      <c r="C83" s="717"/>
      <c r="D83" s="717"/>
      <c r="E83" s="54"/>
      <c r="F83" s="645" t="s">
        <v>37</v>
      </c>
      <c r="G83" s="646"/>
      <c r="H83" s="646"/>
      <c r="I83" s="646"/>
      <c r="J83" s="646"/>
      <c r="K83" s="646"/>
      <c r="L83" s="646"/>
      <c r="M83" s="646"/>
      <c r="N83" s="646"/>
      <c r="O83" s="646"/>
      <c r="P83" s="718"/>
      <c r="Q83" s="14"/>
      <c r="R83" s="14"/>
      <c r="S83" s="729"/>
      <c r="T83" s="730"/>
      <c r="U83" s="730"/>
      <c r="V83" s="720"/>
      <c r="W83" s="14"/>
    </row>
    <row r="84" spans="1:23" ht="15" customHeight="1" x14ac:dyDescent="0.25">
      <c r="A84" s="14"/>
      <c r="B84" s="716"/>
      <c r="C84" s="717"/>
      <c r="D84" s="717"/>
      <c r="E84" s="54"/>
      <c r="F84" s="725" t="s">
        <v>172</v>
      </c>
      <c r="G84" s="726"/>
      <c r="H84" s="262">
        <v>-1.5</v>
      </c>
      <c r="I84" s="262">
        <v>-1.5</v>
      </c>
      <c r="J84" s="262">
        <v>-2</v>
      </c>
      <c r="K84" s="262">
        <v>-2</v>
      </c>
      <c r="L84" s="262">
        <v>-2</v>
      </c>
      <c r="M84" s="262">
        <v>-2</v>
      </c>
      <c r="N84" s="262" t="e">
        <v>#N/A</v>
      </c>
      <c r="O84" s="262" t="e">
        <v>#N/A</v>
      </c>
      <c r="P84" s="260" t="e">
        <v>#N/A</v>
      </c>
      <c r="Q84" s="14"/>
      <c r="R84" s="14"/>
      <c r="S84" s="615"/>
      <c r="T84" s="93"/>
      <c r="U84" s="93"/>
      <c r="V84" s="94"/>
      <c r="W84" s="14"/>
    </row>
    <row r="85" spans="1:23" ht="15" customHeight="1" x14ac:dyDescent="0.25">
      <c r="A85" s="14"/>
      <c r="B85" s="716"/>
      <c r="C85" s="717"/>
      <c r="D85" s="717"/>
      <c r="E85" s="54"/>
      <c r="F85" s="723" t="s">
        <v>173</v>
      </c>
      <c r="G85" s="724"/>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716"/>
      <c r="C86" s="717"/>
      <c r="D86" s="717"/>
      <c r="E86" s="54"/>
      <c r="F86" s="723" t="s">
        <v>174</v>
      </c>
      <c r="G86" s="724"/>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716"/>
      <c r="C87" s="717"/>
      <c r="D87" s="717"/>
      <c r="E87" s="54"/>
      <c r="F87" s="727" t="s">
        <v>175</v>
      </c>
      <c r="G87" s="728"/>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716"/>
      <c r="C88" s="717"/>
      <c r="D88" s="717"/>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GNqPmkKFPHf1YOKQozoB9tNi0y6Y8j6/WkXlPxQVvIWjR9SbbTKmqnKVKwuV2yhClqMMN/zbqA9yOiJH3LGDrg==" saltValue="jmNUSy6PgjOnAwO68GWxUA==" spinCount="100000" sheet="1" objects="1" scenarios="1"/>
  <dataConsolidate/>
  <mergeCells count="171">
    <mergeCell ref="C3:D3"/>
    <mergeCell ref="B2:D2"/>
    <mergeCell ref="B51:D51"/>
    <mergeCell ref="B52:D52"/>
    <mergeCell ref="B53:D54"/>
    <mergeCell ref="B58:D58"/>
    <mergeCell ref="B59:D70"/>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F72:G72"/>
    <mergeCell ref="S75:T75"/>
    <mergeCell ref="S73:T73"/>
    <mergeCell ref="S74:T74"/>
    <mergeCell ref="F76:G76"/>
    <mergeCell ref="F77:P77"/>
    <mergeCell ref="F71:G71"/>
    <mergeCell ref="F75:G75"/>
    <mergeCell ref="F73:G73"/>
    <mergeCell ref="F74:G74"/>
    <mergeCell ref="S77:V77"/>
    <mergeCell ref="U73:V73"/>
    <mergeCell ref="S71:T71"/>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F33:G33"/>
    <mergeCell ref="F28:G28"/>
    <mergeCell ref="F29:G29"/>
    <mergeCell ref="F30:G30"/>
    <mergeCell ref="F34:G34"/>
    <mergeCell ref="F46:G46"/>
    <mergeCell ref="F39:G39"/>
    <mergeCell ref="F38:P38"/>
    <mergeCell ref="F35:G35"/>
    <mergeCell ref="F44:G44"/>
    <mergeCell ref="F45:G45"/>
    <mergeCell ref="F41:G41"/>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s>
  <phoneticPr fontId="62" type="noConversion"/>
  <conditionalFormatting sqref="A6:A50">
    <cfRule type="containsText" dxfId="249" priority="43" operator="containsText" text="n/a">
      <formula>NOT(ISERROR(SEARCH("n/a",A6)))</formula>
    </cfRule>
  </conditionalFormatting>
  <conditionalFormatting sqref="B58:B59">
    <cfRule type="containsText" dxfId="248" priority="19" operator="containsText" text="n/a">
      <formula>NOT(ISERROR(SEARCH("n/a",B58)))</formula>
    </cfRule>
  </conditionalFormatting>
  <conditionalFormatting sqref="B71">
    <cfRule type="containsText" dxfId="247" priority="28" operator="containsText" text="n/a">
      <formula>NOT(ISERROR(SEARCH("n/a",B71)))</formula>
    </cfRule>
  </conditionalFormatting>
  <conditionalFormatting sqref="B73">
    <cfRule type="containsText" dxfId="246" priority="15" operator="containsText" text="n/a">
      <formula>NOT(ISERROR(SEARCH("n/a",B73)))</formula>
    </cfRule>
  </conditionalFormatting>
  <conditionalFormatting sqref="B8">
    <cfRule type="containsText" dxfId="245" priority="52" operator="containsText" text="n/a">
      <formula>NOT(ISERROR(SEARCH("n/a",B8)))</formula>
    </cfRule>
  </conditionalFormatting>
  <conditionalFormatting sqref="B51:B52">
    <cfRule type="containsText" dxfId="244" priority="17" operator="containsText" text="n/a">
      <formula>NOT(ISERROR(SEARCH("n/a",B51)))</formula>
    </cfRule>
  </conditionalFormatting>
  <conditionalFormatting sqref="B55:D55">
    <cfRule type="containsText" dxfId="243" priority="29" operator="containsText" text="n/a">
      <formula>NOT(ISERROR(SEARCH("n/a",B55)))</formula>
    </cfRule>
  </conditionalFormatting>
  <conditionalFormatting sqref="B10:D10">
    <cfRule type="containsText" dxfId="242" priority="51" operator="containsText" text="n/a">
      <formula>NOT(ISERROR(SEARCH("n/a",B10)))</formula>
    </cfRule>
  </conditionalFormatting>
  <conditionalFormatting sqref="C13:D48">
    <cfRule type="containsErrors" dxfId="241" priority="54">
      <formula>ISERROR(C13)</formula>
    </cfRule>
  </conditionalFormatting>
  <conditionalFormatting sqref="F9:F10">
    <cfRule type="containsText" dxfId="240" priority="45" operator="containsText" text="n/a">
      <formula>NOT(ISERROR(SEARCH("n/a",F9)))</formula>
    </cfRule>
  </conditionalFormatting>
  <conditionalFormatting sqref="F21:F22">
    <cfRule type="containsText" dxfId="239" priority="22" operator="containsText" text="n/a">
      <formula>NOT(ISERROR(SEARCH("n/a",F21)))</formula>
    </cfRule>
  </conditionalFormatting>
  <conditionalFormatting sqref="F25">
    <cfRule type="containsText" dxfId="238" priority="36" operator="containsText" text="n/a">
      <formula>NOT(ISERROR(SEARCH("n/a",F25)))</formula>
    </cfRule>
  </conditionalFormatting>
  <conditionalFormatting sqref="F32">
    <cfRule type="containsText" dxfId="237" priority="35" operator="containsText" text="n/a">
      <formula>NOT(ISERROR(SEARCH("n/a",F32)))</formula>
    </cfRule>
  </conditionalFormatting>
  <conditionalFormatting sqref="F38">
    <cfRule type="containsText" dxfId="236" priority="34" operator="containsText" text="n/a">
      <formula>NOT(ISERROR(SEARCH("n/a",F38)))</formula>
    </cfRule>
  </conditionalFormatting>
  <conditionalFormatting sqref="F50">
    <cfRule type="containsText" dxfId="235" priority="33" operator="containsText" text="n/a">
      <formula>NOT(ISERROR(SEARCH("n/a",F50)))</formula>
    </cfRule>
  </conditionalFormatting>
  <conditionalFormatting sqref="F56">
    <cfRule type="containsText" dxfId="234" priority="16" operator="containsText" text="n/a">
      <formula>NOT(ISERROR(SEARCH("n/a",F56)))</formula>
    </cfRule>
  </conditionalFormatting>
  <conditionalFormatting sqref="F69">
    <cfRule type="containsText" dxfId="233" priority="32" operator="containsText" text="n/a">
      <formula>NOT(ISERROR(SEARCH("n/a",F69)))</formula>
    </cfRule>
  </conditionalFormatting>
  <conditionalFormatting sqref="F77">
    <cfRule type="containsText" dxfId="232" priority="31" operator="containsText" text="n/a">
      <formula>NOT(ISERROR(SEARCH("n/a",F77)))</formula>
    </cfRule>
  </conditionalFormatting>
  <conditionalFormatting sqref="F83">
    <cfRule type="containsText" dxfId="231" priority="30" operator="containsText" text="n/a">
      <formula>NOT(ISERROR(SEARCH("n/a",F83)))</formula>
    </cfRule>
  </conditionalFormatting>
  <conditionalFormatting sqref="F8:P8">
    <cfRule type="containsText" dxfId="230" priority="46" operator="containsText" text="n/a">
      <formula>NOT(ISERROR(SEARCH("n/a",F8)))</formula>
    </cfRule>
  </conditionalFormatting>
  <conditionalFormatting sqref="H10:P10">
    <cfRule type="containsText" dxfId="229" priority="44" operator="containsText" text="n/a">
      <formula>NOT(ISERROR(SEARCH("n/a",H10)))</formula>
    </cfRule>
  </conditionalFormatting>
  <conditionalFormatting sqref="K11:Q15 H11:J20 K16:O16 Q16:Q21 K17:N20">
    <cfRule type="containsErrors" dxfId="228" priority="55">
      <formula>ISERROR(H11)</formula>
    </cfRule>
  </conditionalFormatting>
  <conditionalFormatting sqref="Q9:Q10 K11:Q15 H11:J20 K16:O16 Q16:Q21 K17:N20">
    <cfRule type="containsText" dxfId="227" priority="53" operator="containsText" text="n/a">
      <formula>NOT(ISERROR(SEARCH("n/a",H9)))</formula>
    </cfRule>
  </conditionalFormatting>
  <conditionalFormatting sqref="S36:S39">
    <cfRule type="containsText" dxfId="226" priority="37" operator="containsText" text="Rate">
      <formula>NOT(ISERROR(SEARCH("Rate",S36)))</formula>
    </cfRule>
    <cfRule type="expression" dxfId="225" priority="38">
      <formula>Output_NetPrice_JM &lt; 99</formula>
    </cfRule>
    <cfRule type="expression" dxfId="224" priority="39">
      <formula>Output_NetPrice_ExpNR &lt; 99</formula>
    </cfRule>
  </conditionalFormatting>
  <conditionalFormatting sqref="S55">
    <cfRule type="containsText" dxfId="223" priority="27" operator="containsText" text="n/a">
      <formula>NOT(ISERROR(SEARCH("n/a",S55)))</formula>
    </cfRule>
  </conditionalFormatting>
  <conditionalFormatting sqref="S65">
    <cfRule type="containsText" dxfId="222" priority="26" operator="containsText" text="n/a">
      <formula>NOT(ISERROR(SEARCH("n/a",S65)))</formula>
    </cfRule>
  </conditionalFormatting>
  <conditionalFormatting sqref="S67">
    <cfRule type="containsText" dxfId="221" priority="25" operator="containsText" text="n/a">
      <formula>NOT(ISERROR(SEARCH("n/a",S67)))</formula>
    </cfRule>
  </conditionalFormatting>
  <conditionalFormatting sqref="S70">
    <cfRule type="containsText" dxfId="220" priority="24" operator="containsText" text="n/a">
      <formula>NOT(ISERROR(SEARCH("n/a",S70)))</formula>
    </cfRule>
  </conditionalFormatting>
  <conditionalFormatting sqref="U70">
    <cfRule type="containsText" dxfId="219" priority="23" operator="containsText" text="n/a">
      <formula>NOT(ISERROR(SEARCH("n/a",U70)))</formula>
    </cfRule>
  </conditionalFormatting>
  <conditionalFormatting sqref="S8:W8">
    <cfRule type="containsText" dxfId="218" priority="47" operator="containsText" text="n/a">
      <formula>NOT(ISERROR(SEARCH("n/a",S8)))</formula>
    </cfRule>
  </conditionalFormatting>
  <conditionalFormatting sqref="U10">
    <cfRule type="containsText" dxfId="217" priority="48" operator="containsText" text="Rate">
      <formula>NOT(ISERROR(SEARCH("Rate",U10)))</formula>
    </cfRule>
    <cfRule type="expression" dxfId="216" priority="49">
      <formula>Output_NetPrice_JM &lt; 99</formula>
    </cfRule>
    <cfRule type="expression" dxfId="215" priority="50">
      <formula>Output_NetPrice_ExpNR &lt; 99</formula>
    </cfRule>
  </conditionalFormatting>
  <conditionalFormatting sqref="U55:V55">
    <cfRule type="containsText" dxfId="214" priority="21" operator="containsText" text="n/a">
      <formula>NOT(ISERROR(SEARCH("n/a",U55)))</formula>
    </cfRule>
  </conditionalFormatting>
  <conditionalFormatting sqref="U62:V62">
    <cfRule type="containsText" dxfId="213" priority="20" operator="containsText" text="n/a">
      <formula>NOT(ISERROR(SEARCH("n/a",U62)))</formula>
    </cfRule>
  </conditionalFormatting>
  <conditionalFormatting sqref="V10:V35">
    <cfRule type="expression" dxfId="212" priority="13">
      <formula>V10&lt;0</formula>
    </cfRule>
    <cfRule type="containsErrors" dxfId="211" priority="56">
      <formula>ISERROR(V10)</formula>
    </cfRule>
  </conditionalFormatting>
  <conditionalFormatting sqref="V36:V39">
    <cfRule type="containsText" dxfId="210" priority="40" operator="containsText" text="Rate">
      <formula>NOT(ISERROR(SEARCH("Rate",V36)))</formula>
    </cfRule>
    <cfRule type="expression" dxfId="209" priority="41">
      <formula>Output_NetPrice_JM &lt; 99</formula>
    </cfRule>
    <cfRule type="expression" dxfId="208" priority="42">
      <formula>Output_NetPrice_ExpNR &lt; 99</formula>
    </cfRule>
  </conditionalFormatting>
  <conditionalFormatting sqref="S42:S46">
    <cfRule type="containsText" dxfId="207" priority="9" operator="containsText" text="Rate">
      <formula>NOT(ISERROR(SEARCH("Rate",S42)))</formula>
    </cfRule>
    <cfRule type="expression" dxfId="206" priority="10">
      <formula>Output_NetPrice_JM &lt; 99</formula>
    </cfRule>
    <cfRule type="expression" dxfId="205" priority="11">
      <formula>Output_NetPrice_ExpNR &lt; 99</formula>
    </cfRule>
  </conditionalFormatting>
  <conditionalFormatting sqref="U43:U45">
    <cfRule type="containsText" dxfId="204" priority="6" operator="containsText" text="Rate">
      <formula>NOT(ISERROR(SEARCH("Rate",U43)))</formula>
    </cfRule>
    <cfRule type="expression" dxfId="203" priority="7">
      <formula>Output_NetPrice_JM &lt; 99</formula>
    </cfRule>
    <cfRule type="expression" dxfId="202" priority="8">
      <formula>Output_NetPrice_ExpNR &lt; 99</formula>
    </cfRule>
  </conditionalFormatting>
  <conditionalFormatting sqref="V44:V45">
    <cfRule type="containsText" dxfId="201" priority="3" operator="containsText" text="Rate">
      <formula>NOT(ISERROR(SEARCH("Rate",V44)))</formula>
    </cfRule>
    <cfRule type="expression" dxfId="200" priority="4">
      <formula>Output_NetPrice_JM &lt; 99</formula>
    </cfRule>
    <cfRule type="expression" dxfId="199" priority="5">
      <formula>Output_NetPrice_ExpNR &lt; 99</formula>
    </cfRule>
  </conditionalFormatting>
  <conditionalFormatting sqref="S77">
    <cfRule type="containsText" dxfId="198"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140625" style="1" customWidth="1"/>
    <col min="16" max="16" width="3.7109375" style="1" customWidth="1"/>
    <col min="17" max="17" width="21.28515625" style="1" customWidth="1"/>
    <col min="18" max="18" width="12.28515625" style="1" customWidth="1"/>
    <col min="19" max="19" width="22.85546875" style="1" customWidth="1"/>
    <col min="20"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8" t="s">
        <v>0</v>
      </c>
      <c r="M1" s="768"/>
      <c r="N1" s="768"/>
      <c r="O1" s="768"/>
      <c r="P1" s="113"/>
      <c r="Q1" s="113"/>
      <c r="R1" s="113"/>
      <c r="S1" s="3"/>
      <c r="T1" s="3"/>
      <c r="U1" s="3"/>
    </row>
    <row r="2" spans="1:22" ht="17.45" customHeight="1" x14ac:dyDescent="0.25">
      <c r="B2" s="733" t="s">
        <v>938</v>
      </c>
      <c r="C2" s="734"/>
      <c r="D2" s="734"/>
      <c r="I2" s="114"/>
      <c r="J2" s="114"/>
      <c r="K2" s="114"/>
      <c r="L2" s="769" t="s">
        <v>1</v>
      </c>
      <c r="M2" s="769"/>
      <c r="N2" s="769"/>
      <c r="O2" s="769"/>
      <c r="P2" s="114"/>
      <c r="Q2" s="113"/>
      <c r="R2" s="113"/>
      <c r="S2" s="3"/>
      <c r="T2" s="3"/>
      <c r="U2" s="3"/>
      <c r="V2" s="115"/>
    </row>
    <row r="3" spans="1:22" ht="17.45" customHeight="1" x14ac:dyDescent="0.25">
      <c r="B3" s="513" t="s">
        <v>824</v>
      </c>
      <c r="C3" s="731" t="s">
        <v>934</v>
      </c>
      <c r="D3" s="732"/>
      <c r="I3" s="114"/>
      <c r="J3" s="114"/>
      <c r="K3" s="114"/>
      <c r="L3" s="769" t="s">
        <v>2</v>
      </c>
      <c r="M3" s="769"/>
      <c r="N3" s="769"/>
      <c r="O3" s="769"/>
      <c r="P3" s="114"/>
      <c r="Q3" s="114"/>
      <c r="R3" s="114"/>
      <c r="V3" s="116"/>
    </row>
    <row r="4" spans="1:22" ht="17.45" customHeight="1" x14ac:dyDescent="0.25">
      <c r="B4"/>
      <c r="C4"/>
      <c r="D4"/>
      <c r="H4" s="9"/>
      <c r="I4" s="9"/>
      <c r="J4" s="9"/>
      <c r="K4" s="117"/>
      <c r="L4" s="118"/>
      <c r="M4" s="118"/>
      <c r="N4" s="666"/>
      <c r="O4" s="666"/>
      <c r="R4" s="3"/>
      <c r="S4" s="3"/>
    </row>
    <row r="5" spans="1:22" ht="17.45" customHeight="1" thickBot="1" x14ac:dyDescent="0.3">
      <c r="B5" s="517"/>
      <c r="C5" s="517"/>
      <c r="H5" s="9"/>
      <c r="I5" s="9"/>
      <c r="J5" s="9"/>
      <c r="K5" s="10"/>
      <c r="L5" s="666" t="s">
        <v>3</v>
      </c>
      <c r="M5" s="666"/>
      <c r="N5" s="666">
        <v>46269</v>
      </c>
      <c r="O5" s="666"/>
      <c r="Q5" s="496"/>
      <c r="R5" s="3"/>
      <c r="S5" s="3"/>
    </row>
    <row r="6" spans="1:22" ht="17.45" customHeight="1" x14ac:dyDescent="0.25">
      <c r="A6" s="14"/>
      <c r="B6" s="778" t="s">
        <v>4</v>
      </c>
      <c r="C6" s="779"/>
      <c r="D6" s="780"/>
      <c r="E6" s="119"/>
      <c r="F6" s="770" t="s">
        <v>176</v>
      </c>
      <c r="G6" s="771"/>
      <c r="H6" s="771"/>
      <c r="I6" s="771"/>
      <c r="J6" s="771"/>
      <c r="K6" s="771"/>
      <c r="L6" s="771"/>
      <c r="M6" s="771"/>
      <c r="N6" s="771"/>
      <c r="O6" s="772"/>
      <c r="P6" s="14"/>
      <c r="Q6" s="676" t="s">
        <v>6</v>
      </c>
      <c r="R6" s="677"/>
      <c r="S6" s="677"/>
      <c r="T6" s="678"/>
      <c r="U6" s="14"/>
    </row>
    <row r="7" spans="1:22" ht="17.45" customHeight="1" thickBot="1" x14ac:dyDescent="0.3">
      <c r="A7" s="14"/>
      <c r="B7" s="781"/>
      <c r="C7" s="782"/>
      <c r="D7" s="783"/>
      <c r="E7" s="120"/>
      <c r="F7" s="773"/>
      <c r="G7" s="774"/>
      <c r="H7" s="774"/>
      <c r="I7" s="774"/>
      <c r="J7" s="774"/>
      <c r="K7" s="774"/>
      <c r="L7" s="774"/>
      <c r="M7" s="774"/>
      <c r="N7" s="774"/>
      <c r="O7" s="775"/>
      <c r="P7" s="14"/>
      <c r="Q7" s="679"/>
      <c r="R7" s="680"/>
      <c r="S7" s="680"/>
      <c r="T7" s="681"/>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84" t="s">
        <v>7</v>
      </c>
      <c r="C9" s="785"/>
      <c r="D9" s="786"/>
      <c r="E9" s="79"/>
      <c r="F9" s="682" t="s">
        <v>8</v>
      </c>
      <c r="G9" s="683"/>
      <c r="H9" s="683"/>
      <c r="I9" s="683"/>
      <c r="J9" s="683"/>
      <c r="K9" s="683"/>
      <c r="L9" s="683"/>
      <c r="M9" s="683"/>
      <c r="N9" s="683"/>
      <c r="O9" s="684"/>
      <c r="P9" s="14"/>
      <c r="Q9" s="19"/>
      <c r="R9" s="20"/>
      <c r="S9" s="21" t="s">
        <v>9</v>
      </c>
      <c r="T9" s="22"/>
      <c r="U9" s="14"/>
    </row>
    <row r="10" spans="1:22" ht="15" customHeight="1" thickBot="1" x14ac:dyDescent="0.3">
      <c r="A10" s="14"/>
      <c r="B10" s="23" t="s">
        <v>10</v>
      </c>
      <c r="C10" s="25" t="s">
        <v>177</v>
      </c>
      <c r="D10" s="24" t="s">
        <v>178</v>
      </c>
      <c r="E10" s="26"/>
      <c r="F10" s="685" t="s">
        <v>12</v>
      </c>
      <c r="G10" s="686"/>
      <c r="H10" s="447" t="s">
        <v>13</v>
      </c>
      <c r="I10" s="447" t="s">
        <v>14</v>
      </c>
      <c r="J10" s="447" t="s">
        <v>15</v>
      </c>
      <c r="K10" s="447" t="s">
        <v>16</v>
      </c>
      <c r="L10" s="447" t="s">
        <v>17</v>
      </c>
      <c r="M10" s="447" t="s">
        <v>18</v>
      </c>
      <c r="N10" s="447" t="s">
        <v>19</v>
      </c>
      <c r="O10" s="446" t="s">
        <v>20</v>
      </c>
      <c r="P10" s="14"/>
      <c r="Q10" s="776" t="s">
        <v>22</v>
      </c>
      <c r="R10" s="777"/>
      <c r="S10" s="124">
        <v>0</v>
      </c>
      <c r="T10" s="125"/>
      <c r="U10" s="14"/>
    </row>
    <row r="11" spans="1:22" ht="14.25" customHeight="1" x14ac:dyDescent="0.25">
      <c r="A11" s="14"/>
      <c r="B11" s="34">
        <v>5.99</v>
      </c>
      <c r="C11" s="451">
        <v>96.987999999999985</v>
      </c>
      <c r="D11" s="374" t="e">
        <v>#N/A</v>
      </c>
      <c r="E11" s="38"/>
      <c r="F11" s="663" t="s">
        <v>23</v>
      </c>
      <c r="G11" s="664">
        <v>0</v>
      </c>
      <c r="H11" s="29">
        <v>1.375</v>
      </c>
      <c r="I11" s="29">
        <v>1.1499999999999999</v>
      </c>
      <c r="J11" s="29">
        <v>1.0249999999999999</v>
      </c>
      <c r="K11" s="29">
        <v>1</v>
      </c>
      <c r="L11" s="29">
        <v>0.75</v>
      </c>
      <c r="M11" s="29">
        <v>0.55000000000000004</v>
      </c>
      <c r="N11" s="29">
        <v>-0.625</v>
      </c>
      <c r="O11" s="30">
        <v>-2.5</v>
      </c>
      <c r="P11" s="14"/>
      <c r="Q11" s="627" t="s">
        <v>24</v>
      </c>
      <c r="R11" s="628"/>
      <c r="S11" s="32" t="s">
        <v>32</v>
      </c>
      <c r="T11" s="125"/>
      <c r="U11" s="14"/>
    </row>
    <row r="12" spans="1:22" ht="15" customHeight="1" x14ac:dyDescent="0.25">
      <c r="A12" s="14"/>
      <c r="B12" s="34">
        <v>6.125</v>
      </c>
      <c r="C12" s="435">
        <v>97.61250000000004</v>
      </c>
      <c r="D12" s="374" t="e">
        <v>#N/A</v>
      </c>
      <c r="E12" s="38"/>
      <c r="F12" s="766" t="s">
        <v>25</v>
      </c>
      <c r="G12" s="767">
        <v>0</v>
      </c>
      <c r="H12" s="35">
        <v>1.1499999999999999</v>
      </c>
      <c r="I12" s="35">
        <v>1</v>
      </c>
      <c r="J12" s="29">
        <v>1</v>
      </c>
      <c r="K12" s="35">
        <v>0.85</v>
      </c>
      <c r="L12" s="35">
        <v>0.5</v>
      </c>
      <c r="M12" s="29">
        <v>0.42499999999999999</v>
      </c>
      <c r="N12" s="29">
        <v>-0.875</v>
      </c>
      <c r="O12" s="30">
        <v>-2.75</v>
      </c>
      <c r="P12" s="14"/>
      <c r="Q12" s="627" t="s">
        <v>26</v>
      </c>
      <c r="R12" s="628"/>
      <c r="S12" s="32" t="s">
        <v>32</v>
      </c>
      <c r="T12" s="126" t="b">
        <f>IF(ISNUMBER(MATCH($S$11,'Feed(DSCR)'!$B$3:$B$11,0)),
   INDEX($H$11:$O$19,MATCH($S$12,$F$11:$F$19,0),MATCH($S$11,$H$10:$O$10,0)))</f>
        <v>0</v>
      </c>
      <c r="U12" s="14"/>
    </row>
    <row r="13" spans="1:22" ht="15.75" customHeight="1" x14ac:dyDescent="0.25">
      <c r="A13" s="14"/>
      <c r="B13" s="34">
        <v>6.25</v>
      </c>
      <c r="C13" s="375">
        <v>98.05000000000004</v>
      </c>
      <c r="D13" s="374" t="e">
        <v>#N/A</v>
      </c>
      <c r="E13" s="38"/>
      <c r="F13" s="766" t="s">
        <v>27</v>
      </c>
      <c r="G13" s="767">
        <v>0</v>
      </c>
      <c r="H13" s="35">
        <v>1</v>
      </c>
      <c r="I13" s="35">
        <v>0.875</v>
      </c>
      <c r="J13" s="29">
        <v>0.875</v>
      </c>
      <c r="K13" s="35">
        <v>0.71299999999999997</v>
      </c>
      <c r="L13" s="35">
        <v>0.4</v>
      </c>
      <c r="M13" s="29">
        <v>0.21299999999999999</v>
      </c>
      <c r="N13" s="29">
        <v>-1</v>
      </c>
      <c r="O13" s="30">
        <v>-3</v>
      </c>
      <c r="P13" s="14"/>
      <c r="Q13" s="627" t="s">
        <v>28</v>
      </c>
      <c r="R13" s="628"/>
      <c r="S13" s="32" t="s">
        <v>181</v>
      </c>
      <c r="T13" s="126" t="e">
        <f>IF(AND($S$24="DSCR 5-8",$S$13="Core DSCR (≥1.20)"),0, IF(OR($S$11="", $S$13=""), "",
   INDEX($H$23:$O$28,
         MATCH($S$13,$F$23:$F$28,0),
         MATCH($S$11,$H$10:$O$10,0))))</f>
        <v>#N/A</v>
      </c>
      <c r="U13" s="14"/>
    </row>
    <row r="14" spans="1:22" ht="15.75" customHeight="1" x14ac:dyDescent="0.25">
      <c r="A14" s="14"/>
      <c r="B14" s="34">
        <v>6.375</v>
      </c>
      <c r="C14" s="35">
        <v>98.425500000000042</v>
      </c>
      <c r="D14" s="374" t="e">
        <v>#N/A</v>
      </c>
      <c r="E14" s="38"/>
      <c r="F14" s="766" t="s">
        <v>30</v>
      </c>
      <c r="G14" s="767">
        <v>0</v>
      </c>
      <c r="H14" s="35">
        <v>0.875</v>
      </c>
      <c r="I14" s="35">
        <v>0.75</v>
      </c>
      <c r="J14" s="29">
        <v>0.75</v>
      </c>
      <c r="K14" s="35">
        <v>0.65</v>
      </c>
      <c r="L14" s="35">
        <v>2.5000000000000001E-2</v>
      </c>
      <c r="M14" s="29">
        <v>-0.1</v>
      </c>
      <c r="N14" s="29">
        <v>-1.875</v>
      </c>
      <c r="O14" s="30">
        <v>-3.5</v>
      </c>
      <c r="P14" s="14"/>
      <c r="Q14" s="627" t="s">
        <v>31</v>
      </c>
      <c r="R14" s="628"/>
      <c r="S14" s="32" t="s">
        <v>32</v>
      </c>
      <c r="T14" s="126">
        <f>'Feed(DSCR)'!$O$180</f>
        <v>0</v>
      </c>
      <c r="U14" s="14"/>
      <c r="V14" s="33"/>
    </row>
    <row r="15" spans="1:22" ht="15" customHeight="1" x14ac:dyDescent="0.25">
      <c r="A15" s="14"/>
      <c r="B15" s="34">
        <v>6.4989999999999997</v>
      </c>
      <c r="C15" s="35">
        <v>98.925500000000042</v>
      </c>
      <c r="D15" s="374" t="e">
        <v>#N/A</v>
      </c>
      <c r="E15" s="38"/>
      <c r="F15" s="766" t="s">
        <v>33</v>
      </c>
      <c r="G15" s="767">
        <v>0</v>
      </c>
      <c r="H15" s="35">
        <v>0.65</v>
      </c>
      <c r="I15" s="35">
        <v>0.375</v>
      </c>
      <c r="J15" s="29">
        <v>0.125</v>
      </c>
      <c r="K15" s="35">
        <v>2.5000000000000001E-2</v>
      </c>
      <c r="L15" s="35">
        <v>-0.25</v>
      </c>
      <c r="M15" s="29">
        <v>-1</v>
      </c>
      <c r="N15" s="29">
        <v>-2.625</v>
      </c>
      <c r="O15" s="39" t="e">
        <v>#N/A</v>
      </c>
      <c r="P15" s="14"/>
      <c r="Q15" s="627" t="s">
        <v>34</v>
      </c>
      <c r="R15" s="628"/>
      <c r="S15" s="32" t="s">
        <v>32</v>
      </c>
      <c r="T15" s="126" t="e">
        <f>IF(OR($S$11="", $S$15=""), "",
   INDEX($H$71:$O$75,
         MATCH($S$15,$F$71:$F$75,0),
         MATCH($S$11,$H$10:$O$10,0)))</f>
        <v>#N/A</v>
      </c>
      <c r="U15" s="14"/>
      <c r="V15" s="33"/>
    </row>
    <row r="16" spans="1:22" ht="14.25" customHeight="1" x14ac:dyDescent="0.25">
      <c r="A16" s="14"/>
      <c r="B16" s="34">
        <v>6.625</v>
      </c>
      <c r="C16" s="35">
        <v>99.393500000000046</v>
      </c>
      <c r="D16" s="374" t="e">
        <v>#N/A</v>
      </c>
      <c r="E16" s="38"/>
      <c r="F16" s="766" t="s">
        <v>36</v>
      </c>
      <c r="G16" s="767">
        <v>0</v>
      </c>
      <c r="H16" s="35">
        <v>0.25</v>
      </c>
      <c r="I16" s="35">
        <v>-0.125</v>
      </c>
      <c r="J16" s="29">
        <v>-0.125</v>
      </c>
      <c r="K16" s="35">
        <v>-0.25</v>
      </c>
      <c r="L16" s="35">
        <v>-0.85</v>
      </c>
      <c r="M16" s="29">
        <v>-1.5</v>
      </c>
      <c r="N16" s="29">
        <v>-3.375</v>
      </c>
      <c r="O16" s="39" t="e">
        <v>#N/A</v>
      </c>
      <c r="P16" s="14"/>
      <c r="Q16" s="627" t="s">
        <v>37</v>
      </c>
      <c r="R16" s="628"/>
      <c r="S16" s="32" t="s">
        <v>32</v>
      </c>
      <c r="T16" s="126" t="e">
        <f>IF(OR($S$11="", $S$16="", $S$16="NONE"),0,
   INDEX($H$77:$O$80,
         MATCH($S$16,$F$77:$F$80,0),
         MATCH($S$11,$H$10:$O$10,0)))</f>
        <v>#N/A</v>
      </c>
      <c r="U16" s="14"/>
      <c r="V16" s="33"/>
    </row>
    <row r="17" spans="1:26" ht="15" customHeight="1" x14ac:dyDescent="0.25">
      <c r="A17" s="14"/>
      <c r="B17" s="34">
        <v>6.75</v>
      </c>
      <c r="C17" s="35">
        <v>99.831500000000034</v>
      </c>
      <c r="D17" s="374" t="e">
        <v>#N/A</v>
      </c>
      <c r="E17" s="38"/>
      <c r="F17" s="766" t="s">
        <v>39</v>
      </c>
      <c r="G17" s="767">
        <v>0</v>
      </c>
      <c r="H17" s="35">
        <v>-0.25</v>
      </c>
      <c r="I17" s="35">
        <v>-0.25</v>
      </c>
      <c r="J17" s="29">
        <v>-0.75</v>
      </c>
      <c r="K17" s="35">
        <v>-1.25</v>
      </c>
      <c r="L17" s="35">
        <v>-1.9750000000000001</v>
      </c>
      <c r="M17" s="29">
        <v>-2.6</v>
      </c>
      <c r="N17" s="40" t="e">
        <v>#N/A</v>
      </c>
      <c r="O17" s="39" t="e">
        <v>#N/A</v>
      </c>
      <c r="P17" s="14"/>
      <c r="Q17" s="627" t="s">
        <v>40</v>
      </c>
      <c r="R17" s="628"/>
      <c r="S17" s="32" t="s">
        <v>177</v>
      </c>
      <c r="T17" s="126">
        <v>0</v>
      </c>
      <c r="U17" s="14"/>
      <c r="V17" s="33"/>
    </row>
    <row r="18" spans="1:26" ht="15" customHeight="1" x14ac:dyDescent="0.25">
      <c r="A18" s="14"/>
      <c r="B18" s="34">
        <v>6.875</v>
      </c>
      <c r="C18" s="35">
        <v>100.25350000000005</v>
      </c>
      <c r="D18" s="374" t="e">
        <v>#N/A</v>
      </c>
      <c r="E18" s="38"/>
      <c r="F18" s="766" t="s">
        <v>41</v>
      </c>
      <c r="G18" s="767">
        <v>0</v>
      </c>
      <c r="H18" s="35">
        <v>-0.89999999999999991</v>
      </c>
      <c r="I18" s="35">
        <v>-1.25</v>
      </c>
      <c r="J18" s="29">
        <v>-1.65</v>
      </c>
      <c r="K18" s="35">
        <v>-1.875</v>
      </c>
      <c r="L18" s="35">
        <v>-2.875</v>
      </c>
      <c r="M18" s="29">
        <v>-3.625</v>
      </c>
      <c r="N18" s="40" t="e">
        <v>#N/A</v>
      </c>
      <c r="O18" s="39" t="e">
        <v>#N/A</v>
      </c>
      <c r="P18" s="14"/>
      <c r="Q18" s="627" t="s">
        <v>42</v>
      </c>
      <c r="R18" s="628"/>
      <c r="S18" s="32" t="s">
        <v>32</v>
      </c>
      <c r="T18" s="126" t="e">
        <f>IF(OR($S$11="", $S$18="", $S$18="None in this Dropdown"),0,
   INDEX($H$46:$O$49,
         MATCH($S$18,$F$46:$F$49,0),
         MATCH($S$11,$H$10:$O$10,0)))</f>
        <v>#N/A</v>
      </c>
      <c r="U18" s="14"/>
      <c r="V18" s="33"/>
    </row>
    <row r="19" spans="1:26" ht="15.75" customHeight="1" x14ac:dyDescent="0.25">
      <c r="A19" s="14"/>
      <c r="B19" s="34">
        <v>6.9989999999999997</v>
      </c>
      <c r="C19" s="35">
        <v>100.65950000000004</v>
      </c>
      <c r="D19" s="374" t="e">
        <v>#N/A</v>
      </c>
      <c r="E19" s="38"/>
      <c r="F19" s="766" t="s">
        <v>43</v>
      </c>
      <c r="G19" s="767">
        <v>0</v>
      </c>
      <c r="H19" s="35">
        <v>-2</v>
      </c>
      <c r="I19" s="35">
        <v>-2.25</v>
      </c>
      <c r="J19" s="29">
        <v>-2.4</v>
      </c>
      <c r="K19" s="35">
        <v>-2.875</v>
      </c>
      <c r="L19" s="35">
        <v>-3.625</v>
      </c>
      <c r="M19" s="40" t="e">
        <v>#N/A</v>
      </c>
      <c r="N19" s="40" t="e">
        <v>#N/A</v>
      </c>
      <c r="O19" s="39" t="e">
        <v>#N/A</v>
      </c>
      <c r="P19" s="14"/>
      <c r="Q19" s="627" t="s">
        <v>593</v>
      </c>
      <c r="R19" s="628"/>
      <c r="S19" s="32" t="s">
        <v>32</v>
      </c>
      <c r="T19" s="126">
        <f>'Feed(DSCR)'!$R$175</f>
        <v>0</v>
      </c>
      <c r="U19" s="14"/>
      <c r="V19" s="33"/>
    </row>
    <row r="20" spans="1:26" ht="15.75" customHeight="1" x14ac:dyDescent="0.25">
      <c r="A20" s="14"/>
      <c r="B20" s="34">
        <v>7.125</v>
      </c>
      <c r="C20" s="35">
        <v>101.03450000000004</v>
      </c>
      <c r="D20" s="374" t="e">
        <v>#N/A</v>
      </c>
      <c r="E20" s="38"/>
      <c r="F20" s="685"/>
      <c r="G20" s="686"/>
      <c r="H20" s="447"/>
      <c r="I20" s="447"/>
      <c r="J20" s="447"/>
      <c r="K20" s="447"/>
      <c r="L20" s="447"/>
      <c r="M20" s="447"/>
      <c r="N20" s="447"/>
      <c r="O20" s="446"/>
      <c r="P20" s="14"/>
      <c r="Q20" s="627" t="s">
        <v>47</v>
      </c>
      <c r="R20" s="628"/>
      <c r="S20" s="32" t="s">
        <v>32</v>
      </c>
      <c r="T20" s="126" t="e">
        <f>IF(OR($S$11="", $S$20=""), "",
   INDEX($H$36:$O$44,
         MATCH($S$20,$F$36:$F$44,0),
         MATCH($S$11,$H$10:$O$10,0)))</f>
        <v>#N/A</v>
      </c>
      <c r="U20" s="14"/>
      <c r="V20" s="33"/>
      <c r="Z20" s="127"/>
    </row>
    <row r="21" spans="1:26" ht="15.75" customHeight="1" x14ac:dyDescent="0.25">
      <c r="A21" s="14"/>
      <c r="B21" s="34">
        <v>7.25</v>
      </c>
      <c r="C21" s="35">
        <v>101.40950000000004</v>
      </c>
      <c r="D21" s="35">
        <v>97.35</v>
      </c>
      <c r="E21" s="38"/>
      <c r="F21" s="763"/>
      <c r="G21" s="764"/>
      <c r="H21" s="764"/>
      <c r="I21" s="764"/>
      <c r="J21" s="764"/>
      <c r="K21" s="764"/>
      <c r="L21" s="764"/>
      <c r="M21" s="764"/>
      <c r="N21" s="764"/>
      <c r="O21" s="765"/>
      <c r="P21" s="14"/>
      <c r="Q21" s="627" t="s">
        <v>48</v>
      </c>
      <c r="R21" s="628"/>
      <c r="S21" s="32" t="s">
        <v>32</v>
      </c>
      <c r="T21" s="126" t="e">
        <f>IF(OR($S$11="", $S$21=""), "",
   INDEX($H$30:$O$34,
         MATCH($S$21,$F$30:$F$34,0),
         MATCH($S$11,$H$10:$O$10,0)))</f>
        <v>#N/A</v>
      </c>
      <c r="U21" s="14"/>
      <c r="V21" s="33"/>
    </row>
    <row r="22" spans="1:26" x14ac:dyDescent="0.25">
      <c r="A22" s="14"/>
      <c r="B22" s="34">
        <v>7.375</v>
      </c>
      <c r="C22" s="35">
        <v>101.78450000000004</v>
      </c>
      <c r="D22" s="35">
        <v>97.724999999999994</v>
      </c>
      <c r="E22" s="38"/>
      <c r="F22" s="658" t="s">
        <v>28</v>
      </c>
      <c r="G22" s="659"/>
      <c r="H22" s="659"/>
      <c r="I22" s="659"/>
      <c r="J22" s="659"/>
      <c r="K22" s="659"/>
      <c r="L22" s="659"/>
      <c r="M22" s="659"/>
      <c r="N22" s="659"/>
      <c r="O22" s="660"/>
      <c r="P22" s="14"/>
      <c r="Q22" s="627" t="s">
        <v>179</v>
      </c>
      <c r="R22" s="628"/>
      <c r="S22" s="32" t="s">
        <v>32</v>
      </c>
      <c r="T22" s="126">
        <v>0</v>
      </c>
      <c r="U22" s="760"/>
      <c r="V22" s="33"/>
    </row>
    <row r="23" spans="1:26" x14ac:dyDescent="0.25">
      <c r="A23" s="14"/>
      <c r="B23" s="34">
        <v>7.4989999999999997</v>
      </c>
      <c r="C23" s="35">
        <v>102.12850000000005</v>
      </c>
      <c r="D23" s="35">
        <v>98.35</v>
      </c>
      <c r="E23" s="38"/>
      <c r="F23" s="640" t="s">
        <v>180</v>
      </c>
      <c r="G23" s="641"/>
      <c r="H23" s="35">
        <v>0.5</v>
      </c>
      <c r="I23" s="35">
        <v>0.5</v>
      </c>
      <c r="J23" s="35">
        <v>0.5</v>
      </c>
      <c r="K23" s="35">
        <v>0.5</v>
      </c>
      <c r="L23" s="35">
        <v>0.5</v>
      </c>
      <c r="M23" s="35">
        <v>0.5</v>
      </c>
      <c r="N23" s="35" t="e">
        <v>#N/A</v>
      </c>
      <c r="O23" s="36" t="e">
        <v>#N/A</v>
      </c>
      <c r="P23" s="14"/>
      <c r="Q23" s="627" t="s">
        <v>50</v>
      </c>
      <c r="R23" s="628"/>
      <c r="S23" s="32" t="s">
        <v>239</v>
      </c>
      <c r="T23" s="126">
        <v>0</v>
      </c>
      <c r="U23" s="760"/>
      <c r="V23" s="33"/>
      <c r="Z23" s="46"/>
    </row>
    <row r="24" spans="1:26" ht="15.75" customHeight="1" x14ac:dyDescent="0.25">
      <c r="A24" s="14"/>
      <c r="B24" s="34">
        <v>7.625</v>
      </c>
      <c r="C24" s="35">
        <v>102.44050000000004</v>
      </c>
      <c r="D24" s="35">
        <v>98.85</v>
      </c>
      <c r="E24" s="38"/>
      <c r="F24" s="640" t="s">
        <v>181</v>
      </c>
      <c r="G24" s="641"/>
      <c r="H24" s="35">
        <v>0.375</v>
      </c>
      <c r="I24" s="35">
        <v>0.375</v>
      </c>
      <c r="J24" s="35">
        <v>0.375</v>
      </c>
      <c r="K24" s="35">
        <v>0.375</v>
      </c>
      <c r="L24" s="35">
        <v>0.375</v>
      </c>
      <c r="M24" s="35">
        <v>0.375</v>
      </c>
      <c r="N24" s="35">
        <v>0.375</v>
      </c>
      <c r="O24" s="36">
        <v>0.375</v>
      </c>
      <c r="P24" s="14"/>
      <c r="Q24" s="627" t="s">
        <v>51</v>
      </c>
      <c r="R24" s="628"/>
      <c r="S24" s="32" t="s">
        <v>32</v>
      </c>
      <c r="T24" s="126">
        <f>'Feed(DSCR)'!$P$175</f>
        <v>0</v>
      </c>
      <c r="U24" s="760"/>
      <c r="V24" s="33"/>
      <c r="Z24" s="46"/>
    </row>
    <row r="25" spans="1:26" ht="15.75" customHeight="1" x14ac:dyDescent="0.25">
      <c r="A25" s="14"/>
      <c r="B25" s="34">
        <v>7.75</v>
      </c>
      <c r="C25" s="35">
        <v>102.72150000000003</v>
      </c>
      <c r="D25" s="35">
        <v>99.1</v>
      </c>
      <c r="E25" s="38"/>
      <c r="F25" s="640" t="s">
        <v>182</v>
      </c>
      <c r="G25" s="641"/>
      <c r="H25" s="35">
        <v>0</v>
      </c>
      <c r="I25" s="35">
        <v>0</v>
      </c>
      <c r="J25" s="35">
        <v>0</v>
      </c>
      <c r="K25" s="35">
        <v>0</v>
      </c>
      <c r="L25" s="35">
        <v>0</v>
      </c>
      <c r="M25" s="35">
        <v>0</v>
      </c>
      <c r="N25" s="35">
        <v>0</v>
      </c>
      <c r="O25" s="35">
        <v>0</v>
      </c>
      <c r="P25" s="14"/>
      <c r="Q25" s="627" t="s">
        <v>53</v>
      </c>
      <c r="R25" s="628"/>
      <c r="S25" s="32" t="s">
        <v>54</v>
      </c>
      <c r="T25" s="126" t="e">
        <f>'Feed(DSCR)'!$O$175</f>
        <v>#N/A</v>
      </c>
      <c r="U25" s="760"/>
      <c r="V25" s="33"/>
    </row>
    <row r="26" spans="1:26" x14ac:dyDescent="0.25">
      <c r="A26" s="14"/>
      <c r="B26" s="34">
        <v>7.875</v>
      </c>
      <c r="C26" s="35">
        <v>103.00350000000005</v>
      </c>
      <c r="D26" s="35">
        <v>99.35</v>
      </c>
      <c r="E26" s="38"/>
      <c r="F26" s="640" t="s">
        <v>183</v>
      </c>
      <c r="G26" s="641"/>
      <c r="H26" s="35">
        <v>-2</v>
      </c>
      <c r="I26" s="35">
        <v>-2</v>
      </c>
      <c r="J26" s="35">
        <v>-2</v>
      </c>
      <c r="K26" s="35">
        <v>-2</v>
      </c>
      <c r="L26" s="35">
        <v>-2</v>
      </c>
      <c r="M26" s="35">
        <v>-2</v>
      </c>
      <c r="N26" s="35" t="e">
        <v>#N/A</v>
      </c>
      <c r="O26" s="36" t="e">
        <v>#N/A</v>
      </c>
      <c r="P26" s="14"/>
      <c r="Q26" s="627" t="s">
        <v>56</v>
      </c>
      <c r="R26" s="628"/>
      <c r="S26" s="32" t="s">
        <v>32</v>
      </c>
      <c r="T26" s="126">
        <f>'Feed(DSCR)'!$Q$180</f>
        <v>0</v>
      </c>
      <c r="U26" s="760"/>
      <c r="V26" s="33"/>
    </row>
    <row r="27" spans="1:26" ht="15.75" customHeight="1" x14ac:dyDescent="0.25">
      <c r="A27" s="14"/>
      <c r="B27" s="34">
        <v>7.9989999999999997</v>
      </c>
      <c r="C27" s="35">
        <v>103.28450000000004</v>
      </c>
      <c r="D27" s="35">
        <v>99.85</v>
      </c>
      <c r="E27" s="38"/>
      <c r="F27" s="640" t="s">
        <v>184</v>
      </c>
      <c r="G27" s="641"/>
      <c r="H27" s="35">
        <v>-3</v>
      </c>
      <c r="I27" s="35">
        <v>-3</v>
      </c>
      <c r="J27" s="35">
        <v>-3</v>
      </c>
      <c r="K27" s="35">
        <v>-3</v>
      </c>
      <c r="L27" s="35">
        <v>-3</v>
      </c>
      <c r="M27" s="35" t="e">
        <v>#N/A</v>
      </c>
      <c r="N27" s="35" t="e">
        <v>#N/A</v>
      </c>
      <c r="O27" s="36" t="e">
        <v>#N/A</v>
      </c>
      <c r="P27" s="14"/>
      <c r="Q27" s="627" t="s">
        <v>59</v>
      </c>
      <c r="R27" s="628"/>
      <c r="S27" s="32" t="s">
        <v>32</v>
      </c>
      <c r="T27" s="126">
        <f>IF($S$11="", "",
   IF($S$27="Choose a Selection",0,
      INDEX($H$51:$O$62,
           MATCH($S$27,$F$51:$F$62,0),
           MATCH($S$11,$H$10:$O$10,0))))</f>
        <v>0</v>
      </c>
      <c r="U27" s="760"/>
      <c r="V27" s="33"/>
      <c r="W27" s="3"/>
      <c r="X27" s="3"/>
      <c r="Y27" s="3"/>
    </row>
    <row r="28" spans="1:26" ht="15.75" customHeight="1" x14ac:dyDescent="0.25">
      <c r="A28" s="14"/>
      <c r="B28" s="34">
        <v>8.125</v>
      </c>
      <c r="C28" s="35">
        <v>103.56550000000004</v>
      </c>
      <c r="D28" s="35">
        <v>100.1</v>
      </c>
      <c r="E28" s="38"/>
      <c r="F28" s="640" t="s">
        <v>185</v>
      </c>
      <c r="G28" s="641"/>
      <c r="H28" s="35">
        <v>-1.75</v>
      </c>
      <c r="I28" s="35">
        <v>-1.75</v>
      </c>
      <c r="J28" s="35">
        <v>-1.75</v>
      </c>
      <c r="K28" s="35">
        <v>-1.75</v>
      </c>
      <c r="L28" s="35">
        <v>-1.75</v>
      </c>
      <c r="M28" s="35">
        <v>-1.75</v>
      </c>
      <c r="N28" s="35">
        <v>-1.75</v>
      </c>
      <c r="O28" s="36" t="e">
        <v>#N/A</v>
      </c>
      <c r="P28" s="14"/>
      <c r="Q28" s="627" t="s">
        <v>61</v>
      </c>
      <c r="R28" s="628"/>
      <c r="S28" s="32"/>
      <c r="T28" s="126">
        <v>0</v>
      </c>
      <c r="U28" s="760"/>
      <c r="V28" s="33"/>
      <c r="W28" s="3"/>
      <c r="X28" s="3"/>
      <c r="Y28" s="3"/>
    </row>
    <row r="29" spans="1:26" x14ac:dyDescent="0.25">
      <c r="A29" s="14"/>
      <c r="B29" s="34">
        <v>8.25</v>
      </c>
      <c r="C29" s="35">
        <v>103.84650000000003</v>
      </c>
      <c r="D29" s="35">
        <v>100.35</v>
      </c>
      <c r="E29" s="38"/>
      <c r="F29" s="746" t="s">
        <v>48</v>
      </c>
      <c r="G29" s="747"/>
      <c r="H29" s="747"/>
      <c r="I29" s="747"/>
      <c r="J29" s="747"/>
      <c r="K29" s="747"/>
      <c r="L29" s="747"/>
      <c r="M29" s="747"/>
      <c r="N29" s="747"/>
      <c r="O29" s="748"/>
      <c r="P29" s="14"/>
      <c r="Q29" s="627" t="s">
        <v>63</v>
      </c>
      <c r="R29" s="628"/>
      <c r="S29" s="32" t="s">
        <v>32</v>
      </c>
      <c r="T29" s="126">
        <f>'Feed(DSCR)'!$O$185</f>
        <v>0</v>
      </c>
      <c r="U29" s="760"/>
      <c r="V29" s="33"/>
      <c r="W29" s="47"/>
      <c r="X29" s="47"/>
      <c r="Y29" s="47"/>
    </row>
    <row r="30" spans="1:26" x14ac:dyDescent="0.25">
      <c r="A30" s="14"/>
      <c r="B30" s="34">
        <v>8.375</v>
      </c>
      <c r="C30" s="35">
        <v>104.12850000000005</v>
      </c>
      <c r="D30" s="35">
        <v>100.6</v>
      </c>
      <c r="E30" s="38"/>
      <c r="F30" s="640" t="s">
        <v>69</v>
      </c>
      <c r="G30" s="641"/>
      <c r="H30" s="35">
        <v>0</v>
      </c>
      <c r="I30" s="35">
        <v>0</v>
      </c>
      <c r="J30" s="35">
        <v>0</v>
      </c>
      <c r="K30" s="35">
        <v>0</v>
      </c>
      <c r="L30" s="35">
        <v>0</v>
      </c>
      <c r="M30" s="35">
        <v>0</v>
      </c>
      <c r="N30" s="35">
        <v>0</v>
      </c>
      <c r="O30" s="36">
        <v>0</v>
      </c>
      <c r="P30" s="14"/>
      <c r="Q30" s="627" t="s">
        <v>65</v>
      </c>
      <c r="R30" s="628"/>
      <c r="S30" s="48" t="s">
        <v>66</v>
      </c>
      <c r="T30" s="126" t="e">
        <f>'Feed(DSCR)'!$R$180</f>
        <v>#N/A</v>
      </c>
      <c r="U30" s="760"/>
      <c r="V30" s="33"/>
    </row>
    <row r="31" spans="1:26" x14ac:dyDescent="0.25">
      <c r="A31" s="14"/>
      <c r="B31" s="34">
        <v>8.4990000000000006</v>
      </c>
      <c r="C31" s="35">
        <v>104.40950000000004</v>
      </c>
      <c r="D31" s="35">
        <v>100.97499999999999</v>
      </c>
      <c r="E31" s="38"/>
      <c r="F31" s="640" t="s">
        <v>71</v>
      </c>
      <c r="G31" s="641"/>
      <c r="H31" s="35">
        <v>0</v>
      </c>
      <c r="I31" s="35">
        <v>0</v>
      </c>
      <c r="J31" s="35">
        <v>0</v>
      </c>
      <c r="K31" s="35">
        <v>0</v>
      </c>
      <c r="L31" s="35">
        <v>0</v>
      </c>
      <c r="M31" s="35">
        <v>0</v>
      </c>
      <c r="N31" s="35">
        <v>0</v>
      </c>
      <c r="O31" s="36">
        <v>0.25</v>
      </c>
      <c r="P31" s="14"/>
      <c r="Q31" s="627" t="s">
        <v>67</v>
      </c>
      <c r="R31" s="628"/>
      <c r="S31" s="48" t="s">
        <v>68</v>
      </c>
      <c r="T31" s="126" cm="1">
        <f t="array" ref="T31">IF(OR(
      AND(OR($S$31='Feed(DSCR)'!$R$4:$R$5), $S$21&lt;&gt;'Feed(DSCR)'!$J$3),
      AND(OR($S$31='Feed(DSCR)'!$R$4:$R$5), $S$25&lt;&gt;'Feed(DSCR)'!$M$4),
      AND(OR($S$31='Feed(DSCR)'!$R$4:$R$5), $S$21&lt;&gt;'Feed(DSCR)'!$L$3:$L$4),
   ),
   NA(),
   0)</f>
        <v>0</v>
      </c>
      <c r="U31" s="760"/>
      <c r="V31" s="33"/>
    </row>
    <row r="32" spans="1:26" x14ac:dyDescent="0.25">
      <c r="A32" s="14"/>
      <c r="B32" s="34">
        <v>8.625</v>
      </c>
      <c r="C32" s="35">
        <v>104.65950000000004</v>
      </c>
      <c r="D32" s="35">
        <v>101.35</v>
      </c>
      <c r="E32" s="38"/>
      <c r="F32" s="640" t="s">
        <v>73</v>
      </c>
      <c r="G32" s="641"/>
      <c r="H32" s="35">
        <v>-0.125</v>
      </c>
      <c r="I32" s="35">
        <v>-0.25</v>
      </c>
      <c r="J32" s="35">
        <v>-0.375</v>
      </c>
      <c r="K32" s="35">
        <v>-0.5</v>
      </c>
      <c r="L32" s="35">
        <v>-0.5</v>
      </c>
      <c r="M32" s="35">
        <v>-0.5</v>
      </c>
      <c r="N32" s="35">
        <v>-1.75</v>
      </c>
      <c r="O32" s="36" t="e">
        <v>#N/A</v>
      </c>
      <c r="P32" s="14"/>
      <c r="Q32" s="627" t="s">
        <v>70</v>
      </c>
      <c r="R32" s="628"/>
      <c r="S32" s="48" t="s">
        <v>68</v>
      </c>
      <c r="T32" s="126">
        <v>0</v>
      </c>
      <c r="U32" s="760"/>
      <c r="V32" s="33"/>
    </row>
    <row r="33" spans="1:26" ht="15.75" customHeight="1" x14ac:dyDescent="0.25">
      <c r="A33" s="14"/>
      <c r="B33" s="34">
        <v>8.75</v>
      </c>
      <c r="C33" s="35">
        <v>104.90950000000004</v>
      </c>
      <c r="D33" s="35">
        <v>101.6</v>
      </c>
      <c r="E33" s="38"/>
      <c r="F33" s="640" t="s">
        <v>76</v>
      </c>
      <c r="G33" s="641"/>
      <c r="H33" s="35">
        <v>-0.25</v>
      </c>
      <c r="I33" s="35">
        <v>-0.25</v>
      </c>
      <c r="J33" s="35">
        <v>-0.25</v>
      </c>
      <c r="K33" s="35">
        <v>-0.25</v>
      </c>
      <c r="L33" s="35">
        <v>-0.25</v>
      </c>
      <c r="M33" s="35">
        <v>-0.25</v>
      </c>
      <c r="N33" s="35">
        <v>-0.375</v>
      </c>
      <c r="O33" s="36" t="e">
        <v>#N/A</v>
      </c>
      <c r="P33" s="14"/>
      <c r="Q33" s="627" t="s">
        <v>72</v>
      </c>
      <c r="R33" s="628"/>
      <c r="S33" s="49" t="str">
        <f>IF(ISNA(T33),"Yes",IF(T33=0,"No",""))</f>
        <v>No</v>
      </c>
      <c r="T33" s="126">
        <f>'Feed(DSCR)'!$B$67</f>
        <v>0</v>
      </c>
      <c r="U33" s="760"/>
      <c r="V33" s="33"/>
    </row>
    <row r="34" spans="1:26" x14ac:dyDescent="0.25">
      <c r="A34" s="14"/>
      <c r="B34" s="34">
        <v>8.875</v>
      </c>
      <c r="C34" s="35">
        <v>105.15950000000004</v>
      </c>
      <c r="D34" s="35">
        <v>101.97499999999999</v>
      </c>
      <c r="E34" s="38"/>
      <c r="F34" s="640" t="s">
        <v>77</v>
      </c>
      <c r="G34" s="641"/>
      <c r="H34" s="35">
        <v>-0.5</v>
      </c>
      <c r="I34" s="35">
        <v>-0.5</v>
      </c>
      <c r="J34" s="35">
        <v>-0.625</v>
      </c>
      <c r="K34" s="35">
        <v>-0.75</v>
      </c>
      <c r="L34" s="35">
        <v>-0.75</v>
      </c>
      <c r="M34" s="35" t="e">
        <v>#N/A</v>
      </c>
      <c r="N34" s="35" t="e">
        <v>#N/A</v>
      </c>
      <c r="O34" s="36" t="e">
        <v>#N/A</v>
      </c>
      <c r="P34" s="14"/>
      <c r="Q34" s="627" t="s">
        <v>771</v>
      </c>
      <c r="R34" s="628"/>
      <c r="S34" s="48" t="s">
        <v>32</v>
      </c>
      <c r="T34" s="126" t="str">
        <f>IF(S34="Tier 1 States",T79,IF(S34="Tier 2 States",T81,IF(S34="Tier 3 States",T83,"0.000")))</f>
        <v>0.000</v>
      </c>
      <c r="U34" s="760"/>
      <c r="V34" s="33"/>
    </row>
    <row r="35" spans="1:26" ht="15.75" customHeight="1" x14ac:dyDescent="0.25">
      <c r="A35" s="14"/>
      <c r="B35" s="34">
        <v>8.9990000000000006</v>
      </c>
      <c r="C35" s="35">
        <v>105.40950000000004</v>
      </c>
      <c r="D35" s="35">
        <v>102.1</v>
      </c>
      <c r="E35" s="38"/>
      <c r="F35" s="746" t="s">
        <v>79</v>
      </c>
      <c r="G35" s="747"/>
      <c r="H35" s="747"/>
      <c r="I35" s="747"/>
      <c r="J35" s="747"/>
      <c r="K35" s="747"/>
      <c r="L35" s="747"/>
      <c r="M35" s="747"/>
      <c r="N35" s="747"/>
      <c r="O35" s="748"/>
      <c r="P35" s="14"/>
      <c r="Q35" s="627" t="str">
        <f>IF('Feed(DSCR)'!Z1=0,"",INDEX('Feed(DSCR)'!$AA$1:$AA$3,MATCH('Feed(DSCR)'!Z1,'Feed(DSCR)'!$Z$1:$Z$3,0)))</f>
        <v xml:space="preserve">Special </v>
      </c>
      <c r="R35" s="628"/>
      <c r="S35" s="49" t="str">
        <f>IF(T35=FALSE,'Feed(DSCR)'!Y4,'Feed(DSCR)'!Y5)</f>
        <v>Not Applicable</v>
      </c>
      <c r="T35" s="126" t="b">
        <f>'Feed(DSCR)'!$Z$1</f>
        <v>0</v>
      </c>
      <c r="U35" s="760"/>
      <c r="V35" s="33"/>
    </row>
    <row r="36" spans="1:26" x14ac:dyDescent="0.25">
      <c r="A36" s="14"/>
      <c r="B36" s="34">
        <v>9.125</v>
      </c>
      <c r="C36" s="35">
        <v>105.65950000000004</v>
      </c>
      <c r="D36" s="35">
        <v>102.47499999999999</v>
      </c>
      <c r="E36" s="38"/>
      <c r="F36" s="640" t="s">
        <v>81</v>
      </c>
      <c r="G36" s="641"/>
      <c r="H36" s="35">
        <v>-0.25</v>
      </c>
      <c r="I36" s="35">
        <v>-0.5</v>
      </c>
      <c r="J36" s="35">
        <v>-0.5</v>
      </c>
      <c r="K36" s="35">
        <v>-0.5</v>
      </c>
      <c r="L36" s="35">
        <v>-0.5</v>
      </c>
      <c r="M36" s="35">
        <v>-0.75</v>
      </c>
      <c r="N36" s="35">
        <v>-0.75</v>
      </c>
      <c r="O36" s="36">
        <v>-1.5</v>
      </c>
      <c r="P36" s="14"/>
      <c r="Q36" s="691" t="s">
        <v>78</v>
      </c>
      <c r="R36" s="692"/>
      <c r="S36" s="693"/>
      <c r="T36" s="469" t="e">
        <f>SUM($T$12:$T$35)</f>
        <v>#N/A</v>
      </c>
      <c r="U36" s="760"/>
      <c r="V36" s="33"/>
    </row>
    <row r="37" spans="1:26" ht="15.75" customHeight="1" x14ac:dyDescent="0.25">
      <c r="A37" s="14"/>
      <c r="B37" s="34">
        <v>9.25</v>
      </c>
      <c r="C37" s="35">
        <v>105.78450000000004</v>
      </c>
      <c r="D37" s="35">
        <v>102.72499999999999</v>
      </c>
      <c r="E37" s="38"/>
      <c r="F37" s="640" t="s">
        <v>83</v>
      </c>
      <c r="G37" s="641"/>
      <c r="H37" s="35">
        <v>0</v>
      </c>
      <c r="I37" s="35">
        <v>0</v>
      </c>
      <c r="J37" s="35">
        <v>0</v>
      </c>
      <c r="K37" s="35">
        <v>0</v>
      </c>
      <c r="L37" s="35">
        <v>0</v>
      </c>
      <c r="M37" s="35">
        <v>0</v>
      </c>
      <c r="N37" s="35">
        <v>0</v>
      </c>
      <c r="O37" s="36">
        <v>-0.25</v>
      </c>
      <c r="P37" s="14"/>
      <c r="Q37" s="691" t="s">
        <v>80</v>
      </c>
      <c r="R37" s="692"/>
      <c r="S37" s="693"/>
      <c r="T37" s="469" t="e">
        <f>IF(AND($S$24='Feed(DSCR)'!$K$10, $S$17='Feed(DSCR)'!$D$3),INDEX($B$11:$D$50, MATCH($S$10,$B$11:$B$50,0), MATCH($S$24,$B$10:$D$10,0)),INDEX($B$11:$D$50, MATCH($S$10,$B$11:$B$50,0), MATCH($S$17,$B$10:$D$10,0)))</f>
        <v>#N/A</v>
      </c>
      <c r="U37" s="760"/>
      <c r="V37" s="33"/>
      <c r="Z37" s="47"/>
    </row>
    <row r="38" spans="1:26" ht="15.75" customHeight="1" x14ac:dyDescent="0.25">
      <c r="A38" s="14"/>
      <c r="B38" s="34">
        <v>9.375</v>
      </c>
      <c r="C38" s="35">
        <v>105.90950000000004</v>
      </c>
      <c r="D38" s="35">
        <v>103.1</v>
      </c>
      <c r="E38" s="38"/>
      <c r="F38" s="640" t="s">
        <v>85</v>
      </c>
      <c r="G38" s="641"/>
      <c r="H38" s="35">
        <v>0.25</v>
      </c>
      <c r="I38" s="35">
        <v>0.25</v>
      </c>
      <c r="J38" s="35">
        <v>0.25</v>
      </c>
      <c r="K38" s="35">
        <v>0.25</v>
      </c>
      <c r="L38" s="35">
        <v>0.25</v>
      </c>
      <c r="M38" s="35">
        <v>0.25</v>
      </c>
      <c r="N38" s="35">
        <v>0.25</v>
      </c>
      <c r="O38" s="36">
        <v>0.25</v>
      </c>
      <c r="P38" s="14"/>
      <c r="Q38" s="691" t="s">
        <v>82</v>
      </c>
      <c r="R38" s="692"/>
      <c r="S38" s="693"/>
      <c r="T38" s="469" t="str">
        <f ca="1">IFERROR(IF(AND(S19='Feed(DSCR)'!$P$6,S10&lt;R70),"Minimum Rate",IF(AND($S$10&lt;&gt;'Feed(DSCR)'!$K$134,T39=R67),NA(),T37+T36+Q85)),"Minimum Rate")</f>
        <v>Minimum Rate</v>
      </c>
      <c r="U38" s="760"/>
      <c r="V38" s="33"/>
    </row>
    <row r="39" spans="1:26" ht="15.75" customHeight="1" x14ac:dyDescent="0.25">
      <c r="A39" s="14"/>
      <c r="B39" s="34">
        <v>9.4990000000000006</v>
      </c>
      <c r="C39" s="35">
        <v>106.03450000000004</v>
      </c>
      <c r="D39" s="35">
        <v>103.47499999999999</v>
      </c>
      <c r="E39" s="38"/>
      <c r="F39" s="640" t="s">
        <v>87</v>
      </c>
      <c r="G39" s="641"/>
      <c r="H39" s="35">
        <v>0.375</v>
      </c>
      <c r="I39" s="35">
        <v>0.25</v>
      </c>
      <c r="J39" s="35">
        <v>0.25</v>
      </c>
      <c r="K39" s="35">
        <v>0.25</v>
      </c>
      <c r="L39" s="35">
        <v>0.25</v>
      </c>
      <c r="M39" s="35">
        <v>0</v>
      </c>
      <c r="N39" s="35">
        <v>0</v>
      </c>
      <c r="O39" s="36">
        <v>0</v>
      </c>
      <c r="P39" s="14"/>
      <c r="Q39" s="691" t="s">
        <v>84</v>
      </c>
      <c r="R39" s="692"/>
      <c r="S39" s="693"/>
      <c r="T39" s="469" t="e">
        <f>IF(OR('Feed(DSCR)'!$E$147=0, ISERROR('Feed(DSCR)'!$E$147)), NA(), 'Feed(DSCR)'!$E$147)</f>
        <v>#N/A</v>
      </c>
      <c r="U39" s="760"/>
      <c r="V39" s="33"/>
    </row>
    <row r="40" spans="1:26" ht="14.25" customHeight="1" x14ac:dyDescent="0.25">
      <c r="A40" s="14"/>
      <c r="B40" s="34">
        <v>9.625</v>
      </c>
      <c r="C40" s="35">
        <v>106.15950000000004</v>
      </c>
      <c r="D40" s="35">
        <v>103.72499999999999</v>
      </c>
      <c r="E40" s="38"/>
      <c r="F40" s="640" t="s">
        <v>88</v>
      </c>
      <c r="G40" s="641"/>
      <c r="H40" s="35">
        <v>0</v>
      </c>
      <c r="I40" s="35">
        <v>0</v>
      </c>
      <c r="J40" s="35">
        <v>0</v>
      </c>
      <c r="K40" s="35">
        <v>0</v>
      </c>
      <c r="L40" s="35">
        <v>0</v>
      </c>
      <c r="M40" s="35">
        <v>0</v>
      </c>
      <c r="N40" s="35">
        <v>0</v>
      </c>
      <c r="O40" s="36">
        <v>0</v>
      </c>
      <c r="P40" s="14"/>
      <c r="Q40" s="694" t="s">
        <v>86</v>
      </c>
      <c r="R40" s="695"/>
      <c r="S40" s="696"/>
      <c r="T40" s="51" t="e">
        <f>IF(OR($T$36="#NA",$T$37="#NA"),NA(),IF(AND($S$10&lt;&gt;'Feed(DSCR)'!$K$134,$T$39=$R$67),NA(),IF($T$38&gt;$T$39,$T$39,$T$38)))</f>
        <v>#N/A</v>
      </c>
      <c r="U40" s="760"/>
      <c r="V40" s="33"/>
    </row>
    <row r="41" spans="1:26" ht="14.25" customHeight="1" x14ac:dyDescent="0.25">
      <c r="A41" s="14"/>
      <c r="B41" s="34">
        <v>9.75</v>
      </c>
      <c r="C41" s="35">
        <v>106.28450000000004</v>
      </c>
      <c r="D41" s="35">
        <v>103.97499999999999</v>
      </c>
      <c r="E41" s="38"/>
      <c r="F41" s="640" t="s">
        <v>90</v>
      </c>
      <c r="G41" s="641"/>
      <c r="H41" s="35">
        <v>-0.125</v>
      </c>
      <c r="I41" s="35">
        <v>-0.125</v>
      </c>
      <c r="J41" s="35">
        <v>-0.125</v>
      </c>
      <c r="K41" s="35">
        <v>-0.25</v>
      </c>
      <c r="L41" s="35">
        <v>-0.25</v>
      </c>
      <c r="M41" s="35">
        <v>-0.25</v>
      </c>
      <c r="N41" s="35">
        <v>-0.5</v>
      </c>
      <c r="O41" s="36" t="e">
        <v>#N/A</v>
      </c>
      <c r="P41" s="14"/>
      <c r="Q41" s="694" t="str" cm="1">
        <f t="array" ref="Q41">IF(OR($S$11:$S$25="Choose a Selection"),"",CONCATENATE('Feed(DSCR)'!$I$134," ",'Feed(DSCR)'!$K$134,"%"&amp;" @ "&amp;'Feed(DSCR)'!$L$134))</f>
        <v/>
      </c>
      <c r="R41" s="695"/>
      <c r="S41" s="695"/>
      <c r="T41" s="749"/>
      <c r="U41" s="760"/>
      <c r="V41" s="33"/>
    </row>
    <row r="42" spans="1:26" ht="15.75" customHeight="1" thickBot="1" x14ac:dyDescent="0.3">
      <c r="A42" s="14"/>
      <c r="B42" s="34">
        <v>9.875</v>
      </c>
      <c r="C42" s="35">
        <v>106.40950000000004</v>
      </c>
      <c r="D42" s="35">
        <v>104.22499999999999</v>
      </c>
      <c r="E42" s="38"/>
      <c r="F42" s="640" t="s">
        <v>91</v>
      </c>
      <c r="G42" s="641"/>
      <c r="H42" s="35">
        <v>-0.375</v>
      </c>
      <c r="I42" s="35">
        <v>-0.375</v>
      </c>
      <c r="J42" s="35">
        <v>-0.5</v>
      </c>
      <c r="K42" s="35">
        <v>-0.5</v>
      </c>
      <c r="L42" s="35">
        <v>-0.5</v>
      </c>
      <c r="M42" s="35">
        <v>-0.5</v>
      </c>
      <c r="N42" s="35">
        <v>-0.75</v>
      </c>
      <c r="O42" s="36" t="e">
        <v>#N/A</v>
      </c>
      <c r="P42" s="14"/>
      <c r="Q42" s="750" t="s">
        <v>761</v>
      </c>
      <c r="R42" s="751"/>
      <c r="S42" s="751"/>
      <c r="T42" s="752"/>
      <c r="U42" s="760"/>
      <c r="V42" s="33"/>
    </row>
    <row r="43" spans="1:26" ht="14.25" customHeight="1" thickBot="1" x14ac:dyDescent="0.3">
      <c r="A43" s="14"/>
      <c r="B43" s="34">
        <v>9.9990000000000006</v>
      </c>
      <c r="C43" s="35">
        <v>106.53450000000004</v>
      </c>
      <c r="D43" s="35">
        <v>104.47499999999999</v>
      </c>
      <c r="E43" s="38"/>
      <c r="F43" s="640" t="s">
        <v>92</v>
      </c>
      <c r="G43" s="641"/>
      <c r="H43" s="35">
        <v>-1</v>
      </c>
      <c r="I43" s="35">
        <v>-1</v>
      </c>
      <c r="J43" s="35">
        <v>-1</v>
      </c>
      <c r="K43" s="35">
        <v>-1</v>
      </c>
      <c r="L43" s="35">
        <v>-1.25</v>
      </c>
      <c r="M43" s="35">
        <v>-1.5</v>
      </c>
      <c r="N43" s="35" t="e">
        <v>#N/A</v>
      </c>
      <c r="O43" s="36" t="e">
        <v>#N/A</v>
      </c>
      <c r="P43" s="14"/>
      <c r="Q43" s="633" t="s">
        <v>762</v>
      </c>
      <c r="R43" s="634"/>
      <c r="S43" s="668">
        <v>500000</v>
      </c>
      <c r="T43" s="669"/>
      <c r="U43" s="760"/>
      <c r="V43" s="33"/>
    </row>
    <row r="44" spans="1:26" ht="15.75" customHeight="1" thickBot="1" x14ac:dyDescent="0.3">
      <c r="A44" s="14"/>
      <c r="B44" s="34">
        <v>10.125</v>
      </c>
      <c r="C44" s="35">
        <v>106.65950000000004</v>
      </c>
      <c r="D44" s="35">
        <v>104.72499999999999</v>
      </c>
      <c r="E44" s="38"/>
      <c r="F44" s="640" t="s">
        <v>93</v>
      </c>
      <c r="G44" s="641"/>
      <c r="H44" s="35">
        <v>-2</v>
      </c>
      <c r="I44" s="35">
        <v>-2.25</v>
      </c>
      <c r="J44" s="35">
        <v>-2.5</v>
      </c>
      <c r="K44" s="35">
        <v>-3</v>
      </c>
      <c r="L44" s="35" t="e">
        <v>#N/A</v>
      </c>
      <c r="M44" s="35" t="e">
        <v>#N/A</v>
      </c>
      <c r="N44" s="35" t="e">
        <v>#N/A</v>
      </c>
      <c r="O44" s="36" t="e">
        <v>#N/A</v>
      </c>
      <c r="P44" s="14"/>
      <c r="Q44" s="633" t="s">
        <v>763</v>
      </c>
      <c r="R44" s="634"/>
      <c r="S44" s="483">
        <v>2.25</v>
      </c>
      <c r="T44" s="484">
        <f>S44/100*S43</f>
        <v>11250</v>
      </c>
      <c r="U44" s="760"/>
      <c r="V44" s="33"/>
    </row>
    <row r="45" spans="1:26" ht="14.25" customHeight="1" thickBot="1" x14ac:dyDescent="0.3">
      <c r="A45" s="14"/>
      <c r="B45" s="34">
        <v>10.25</v>
      </c>
      <c r="C45" s="35">
        <v>106.78450000000004</v>
      </c>
      <c r="D45" s="35">
        <v>104.97499999999999</v>
      </c>
      <c r="E45" s="38"/>
      <c r="F45" s="746" t="s">
        <v>186</v>
      </c>
      <c r="G45" s="747"/>
      <c r="H45" s="747"/>
      <c r="I45" s="747"/>
      <c r="J45" s="747"/>
      <c r="K45" s="747"/>
      <c r="L45" s="747"/>
      <c r="M45" s="747"/>
      <c r="N45" s="747"/>
      <c r="O45" s="748"/>
      <c r="P45" s="14"/>
      <c r="Q45" s="633" t="s">
        <v>764</v>
      </c>
      <c r="R45" s="634"/>
      <c r="S45" s="482"/>
      <c r="T45" s="485">
        <f>S45/S43*100</f>
        <v>0</v>
      </c>
      <c r="U45" s="760"/>
      <c r="V45" s="33"/>
    </row>
    <row r="46" spans="1:26" ht="14.25" customHeight="1" thickBot="1" x14ac:dyDescent="0.3">
      <c r="A46" s="14"/>
      <c r="B46" s="34">
        <v>10.375</v>
      </c>
      <c r="C46" s="35">
        <v>106.90950000000004</v>
      </c>
      <c r="D46" s="35">
        <v>105.22499999999999</v>
      </c>
      <c r="E46" s="38"/>
      <c r="F46" s="640" t="s">
        <v>99</v>
      </c>
      <c r="G46" s="641"/>
      <c r="H46" s="35">
        <v>-1</v>
      </c>
      <c r="I46" s="35">
        <v>-1</v>
      </c>
      <c r="J46" s="35">
        <v>-1</v>
      </c>
      <c r="K46" s="35">
        <v>-1</v>
      </c>
      <c r="L46" s="35">
        <v>-1</v>
      </c>
      <c r="M46" s="35">
        <v>-1.5</v>
      </c>
      <c r="N46" s="35" t="e">
        <v>#N/A</v>
      </c>
      <c r="O46" s="36" t="e">
        <v>#N/A</v>
      </c>
      <c r="P46" s="14"/>
      <c r="Q46" s="633" t="s">
        <v>765</v>
      </c>
      <c r="R46" s="634"/>
      <c r="S46" s="617">
        <f>S44+T45</f>
        <v>2.25</v>
      </c>
      <c r="T46" s="618"/>
      <c r="U46" s="760"/>
      <c r="V46" s="33"/>
    </row>
    <row r="47" spans="1:26" ht="14.25" customHeight="1" thickBot="1" x14ac:dyDescent="0.3">
      <c r="A47" s="14"/>
      <c r="B47" s="34">
        <v>10.499000000000001</v>
      </c>
      <c r="C47" s="35">
        <v>107.03450000000004</v>
      </c>
      <c r="D47" s="35">
        <v>105.47499999999999</v>
      </c>
      <c r="E47" s="38"/>
      <c r="F47" s="640" t="s">
        <v>187</v>
      </c>
      <c r="G47" s="641"/>
      <c r="H47" s="35">
        <v>-0.5</v>
      </c>
      <c r="I47" s="35">
        <v>-0.5</v>
      </c>
      <c r="J47" s="35">
        <v>-0.5</v>
      </c>
      <c r="K47" s="35">
        <v>-0.5</v>
      </c>
      <c r="L47" s="35">
        <v>-0.5</v>
      </c>
      <c r="M47" s="35">
        <v>-0.625</v>
      </c>
      <c r="N47" s="35">
        <v>-0.75</v>
      </c>
      <c r="O47" s="36" t="e">
        <v>#N/A</v>
      </c>
      <c r="P47" s="14"/>
      <c r="Q47" s="700" t="s">
        <v>766</v>
      </c>
      <c r="R47" s="701"/>
      <c r="S47" s="702" t="e">
        <f>T40-S46</f>
        <v>#N/A</v>
      </c>
      <c r="T47" s="703"/>
      <c r="U47" s="760"/>
      <c r="V47" s="33"/>
    </row>
    <row r="48" spans="1:26" ht="15.75" customHeight="1" x14ac:dyDescent="0.25">
      <c r="A48" s="14"/>
      <c r="B48" s="34">
        <v>10.625</v>
      </c>
      <c r="C48" s="35">
        <v>107.15950000000004</v>
      </c>
      <c r="D48" s="35">
        <v>105.72499999999999</v>
      </c>
      <c r="E48" s="38"/>
      <c r="F48" s="640" t="s">
        <v>100</v>
      </c>
      <c r="G48" s="641"/>
      <c r="H48" s="35">
        <v>0</v>
      </c>
      <c r="I48" s="35">
        <v>0</v>
      </c>
      <c r="J48" s="35">
        <v>0</v>
      </c>
      <c r="K48" s="35">
        <v>0</v>
      </c>
      <c r="L48" s="35">
        <v>0</v>
      </c>
      <c r="M48" s="35">
        <v>0</v>
      </c>
      <c r="N48" s="35">
        <v>0</v>
      </c>
      <c r="O48" s="36" t="e">
        <v>#N/A</v>
      </c>
      <c r="P48" s="14"/>
      <c r="Q48" s="761" t="s">
        <v>937</v>
      </c>
      <c r="R48" s="761"/>
      <c r="S48" s="761"/>
      <c r="T48" s="762"/>
      <c r="U48" s="128"/>
      <c r="V48" s="33"/>
    </row>
    <row r="49" spans="1:22" ht="15.75" customHeight="1" x14ac:dyDescent="0.25">
      <c r="A49" s="14"/>
      <c r="B49" s="34"/>
      <c r="C49" s="34"/>
      <c r="D49" s="34"/>
      <c r="E49" s="38"/>
      <c r="F49" s="640" t="s">
        <v>101</v>
      </c>
      <c r="G49" s="641"/>
      <c r="H49" s="35">
        <v>-0.25</v>
      </c>
      <c r="I49" s="35">
        <v>-0.25</v>
      </c>
      <c r="J49" s="35">
        <v>-0.25</v>
      </c>
      <c r="K49" s="35">
        <v>-0.25</v>
      </c>
      <c r="L49" s="35">
        <v>-0.25</v>
      </c>
      <c r="M49" s="35">
        <v>-0.25</v>
      </c>
      <c r="N49" s="35">
        <v>-0.25</v>
      </c>
      <c r="O49" s="36" t="e">
        <v>#N/A</v>
      </c>
      <c r="P49" s="14"/>
      <c r="Q49" s="761"/>
      <c r="R49" s="761"/>
      <c r="S49" s="761"/>
      <c r="T49" s="762"/>
      <c r="U49" s="54"/>
      <c r="V49" s="33"/>
    </row>
    <row r="50" spans="1:22" x14ac:dyDescent="0.25">
      <c r="A50" s="14"/>
      <c r="B50" s="34"/>
      <c r="C50" s="34"/>
      <c r="D50" s="34"/>
      <c r="E50" s="38"/>
      <c r="F50" s="746" t="s">
        <v>59</v>
      </c>
      <c r="G50" s="747"/>
      <c r="H50" s="747"/>
      <c r="I50" s="747"/>
      <c r="J50" s="747"/>
      <c r="K50" s="747"/>
      <c r="L50" s="747"/>
      <c r="M50" s="747"/>
      <c r="N50" s="747"/>
      <c r="O50" s="748"/>
      <c r="P50" s="14"/>
      <c r="Q50" s="761"/>
      <c r="R50" s="761"/>
      <c r="S50" s="761"/>
      <c r="T50" s="762"/>
      <c r="U50" s="14"/>
      <c r="V50" s="33"/>
    </row>
    <row r="51" spans="1:22" ht="13.5" customHeight="1" x14ac:dyDescent="0.25">
      <c r="A51" s="14"/>
      <c r="B51" s="55"/>
      <c r="C51" s="55"/>
      <c r="D51" s="55"/>
      <c r="E51" s="14"/>
      <c r="F51" s="640" t="s">
        <v>103</v>
      </c>
      <c r="G51" s="641"/>
      <c r="H51" s="129">
        <v>-1</v>
      </c>
      <c r="I51" s="129">
        <v>-1</v>
      </c>
      <c r="J51" s="129">
        <v>-1</v>
      </c>
      <c r="K51" s="129">
        <v>-1</v>
      </c>
      <c r="L51" s="129">
        <v>-1</v>
      </c>
      <c r="M51" s="129">
        <v>-1</v>
      </c>
      <c r="N51" s="129">
        <v>-1</v>
      </c>
      <c r="O51" s="130" t="e">
        <v>#N/A</v>
      </c>
      <c r="P51" s="54"/>
      <c r="Q51" s="761" t="s">
        <v>95</v>
      </c>
      <c r="R51" s="761"/>
      <c r="S51" s="761"/>
      <c r="T51" s="762"/>
      <c r="U51" s="14"/>
    </row>
    <row r="52" spans="1:22" ht="15.75" customHeight="1" x14ac:dyDescent="0.25">
      <c r="A52" s="14"/>
      <c r="B52" s="57"/>
      <c r="C52" s="57"/>
      <c r="D52" s="57"/>
      <c r="E52" s="14"/>
      <c r="F52" s="640" t="s">
        <v>108</v>
      </c>
      <c r="G52" s="641"/>
      <c r="H52" s="129">
        <v>-1.75</v>
      </c>
      <c r="I52" s="129">
        <v>-1.75</v>
      </c>
      <c r="J52" s="129">
        <v>-1.75</v>
      </c>
      <c r="K52" s="129">
        <v>-1.75</v>
      </c>
      <c r="L52" s="129">
        <v>-1.75</v>
      </c>
      <c r="M52" s="129">
        <v>-1.75</v>
      </c>
      <c r="N52" s="129">
        <v>-1.75</v>
      </c>
      <c r="O52" s="130" t="e">
        <v>#N/A</v>
      </c>
      <c r="P52" s="14"/>
      <c r="Q52" s="761"/>
      <c r="R52" s="761"/>
      <c r="S52" s="761"/>
      <c r="T52" s="762"/>
      <c r="U52" s="14"/>
    </row>
    <row r="53" spans="1:22" x14ac:dyDescent="0.25">
      <c r="A53" s="14"/>
      <c r="B53" s="131"/>
      <c r="C53" s="131"/>
      <c r="D53" s="131"/>
      <c r="E53" s="58"/>
      <c r="F53" s="640" t="s">
        <v>113</v>
      </c>
      <c r="G53" s="641"/>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40" t="s">
        <v>117</v>
      </c>
      <c r="G54" s="641"/>
      <c r="H54" s="129">
        <v>-0.25</v>
      </c>
      <c r="I54" s="129">
        <v>-0.25</v>
      </c>
      <c r="J54" s="129">
        <v>-0.25</v>
      </c>
      <c r="K54" s="129">
        <v>-0.25</v>
      </c>
      <c r="L54" s="129">
        <v>-0.25</v>
      </c>
      <c r="M54" s="129">
        <v>-0.75</v>
      </c>
      <c r="N54" s="129">
        <v>-0.75</v>
      </c>
      <c r="O54" s="130">
        <v>-0.75</v>
      </c>
      <c r="P54" s="14"/>
      <c r="Q54" s="132"/>
      <c r="R54" s="132"/>
      <c r="S54" s="132"/>
      <c r="T54" s="132"/>
      <c r="U54" s="14"/>
    </row>
    <row r="55" spans="1:22" ht="15.75" customHeight="1" x14ac:dyDescent="0.25">
      <c r="A55" s="14"/>
      <c r="B55" s="759" t="s">
        <v>65</v>
      </c>
      <c r="C55" s="759"/>
      <c r="D55" s="77" t="s">
        <v>102</v>
      </c>
      <c r="E55" s="59"/>
      <c r="F55" s="640" t="s">
        <v>122</v>
      </c>
      <c r="G55" s="641"/>
      <c r="H55" s="129">
        <v>0.25</v>
      </c>
      <c r="I55" s="129">
        <v>0.125</v>
      </c>
      <c r="J55" s="129">
        <v>0.125</v>
      </c>
      <c r="K55" s="129">
        <v>0.125</v>
      </c>
      <c r="L55" s="129">
        <v>0.125</v>
      </c>
      <c r="M55" s="129">
        <v>0.125</v>
      </c>
      <c r="N55" s="129">
        <v>0.125</v>
      </c>
      <c r="O55" s="129">
        <v>6.25E-2</v>
      </c>
      <c r="P55" s="14"/>
      <c r="Q55" s="745" t="s">
        <v>104</v>
      </c>
      <c r="R55" s="690"/>
      <c r="S55" s="77" t="s">
        <v>63</v>
      </c>
      <c r="T55" s="77" t="s">
        <v>102</v>
      </c>
      <c r="U55" s="14"/>
    </row>
    <row r="56" spans="1:22" ht="15.75" customHeight="1" x14ac:dyDescent="0.25">
      <c r="A56" s="14"/>
      <c r="B56" s="758" t="s">
        <v>107</v>
      </c>
      <c r="C56" s="758"/>
      <c r="D56" s="134">
        <v>-0.25</v>
      </c>
      <c r="E56" s="63"/>
      <c r="F56" s="640" t="s">
        <v>126</v>
      </c>
      <c r="G56" s="641"/>
      <c r="H56" s="129">
        <v>0.375</v>
      </c>
      <c r="I56" s="129">
        <v>0.25</v>
      </c>
      <c r="J56" s="129">
        <v>0.25</v>
      </c>
      <c r="K56" s="129">
        <v>0.25</v>
      </c>
      <c r="L56" s="129">
        <v>0.25</v>
      </c>
      <c r="M56" s="129">
        <v>0.25</v>
      </c>
      <c r="N56" s="129">
        <v>0.25</v>
      </c>
      <c r="O56" s="129">
        <v>0.125</v>
      </c>
      <c r="P56" s="14"/>
      <c r="Q56" s="135" t="s">
        <v>893</v>
      </c>
      <c r="R56" s="84">
        <v>102.5</v>
      </c>
      <c r="S56" s="136" t="s">
        <v>188</v>
      </c>
      <c r="T56" s="137">
        <v>-0.25</v>
      </c>
      <c r="U56" s="14"/>
    </row>
    <row r="57" spans="1:22" ht="15.75" customHeight="1" x14ac:dyDescent="0.25">
      <c r="A57" s="14"/>
      <c r="B57" s="758" t="s">
        <v>112</v>
      </c>
      <c r="C57" s="758"/>
      <c r="D57" s="134">
        <v>-0.5</v>
      </c>
      <c r="E57" s="69"/>
      <c r="F57" s="640" t="s">
        <v>130</v>
      </c>
      <c r="G57" s="641"/>
      <c r="H57" s="129">
        <v>0.75</v>
      </c>
      <c r="I57" s="129">
        <v>0.625</v>
      </c>
      <c r="J57" s="129">
        <v>0.625</v>
      </c>
      <c r="K57" s="129">
        <v>0.625</v>
      </c>
      <c r="L57" s="129">
        <v>0.625</v>
      </c>
      <c r="M57" s="129">
        <v>0.625</v>
      </c>
      <c r="N57" s="129">
        <v>0.625</v>
      </c>
      <c r="O57" s="129">
        <v>0.5</v>
      </c>
      <c r="P57" s="14"/>
      <c r="Q57" s="135" t="s">
        <v>90</v>
      </c>
      <c r="R57" s="138">
        <v>100.75</v>
      </c>
      <c r="S57" s="136" t="s">
        <v>189</v>
      </c>
      <c r="T57" s="139">
        <v>-0.25</v>
      </c>
      <c r="U57" s="14"/>
    </row>
    <row r="58" spans="1:22" x14ac:dyDescent="0.25">
      <c r="A58" s="14"/>
      <c r="B58" s="739" t="s">
        <v>116</v>
      </c>
      <c r="C58" s="740"/>
      <c r="D58" s="740"/>
      <c r="E58" s="72"/>
      <c r="F58" s="640" t="s">
        <v>132</v>
      </c>
      <c r="G58" s="641"/>
      <c r="H58" s="129">
        <v>-0.75</v>
      </c>
      <c r="I58" s="129">
        <v>-0.75</v>
      </c>
      <c r="J58" s="129">
        <v>-0.75</v>
      </c>
      <c r="K58" s="129">
        <v>-0.75</v>
      </c>
      <c r="L58" s="129">
        <v>-0.75</v>
      </c>
      <c r="M58" s="129">
        <v>-0.75</v>
      </c>
      <c r="N58" s="129">
        <v>-0.75</v>
      </c>
      <c r="O58" s="130">
        <v>-0.75</v>
      </c>
      <c r="P58" s="54"/>
      <c r="Q58" s="135" t="s">
        <v>91</v>
      </c>
      <c r="R58" s="138">
        <v>100.5</v>
      </c>
      <c r="S58" s="136" t="s">
        <v>190</v>
      </c>
      <c r="T58" s="139">
        <v>-0.25</v>
      </c>
      <c r="U58" s="14"/>
      <c r="V58" s="3"/>
    </row>
    <row r="59" spans="1:22" ht="15.75" customHeight="1" x14ac:dyDescent="0.25">
      <c r="A59" s="14"/>
      <c r="B59" s="756" t="s">
        <v>191</v>
      </c>
      <c r="C59" s="757"/>
      <c r="D59" s="757"/>
      <c r="E59" s="64"/>
      <c r="F59" s="640" t="s">
        <v>134</v>
      </c>
      <c r="G59" s="641"/>
      <c r="H59" s="129">
        <v>0</v>
      </c>
      <c r="I59" s="129">
        <v>0</v>
      </c>
      <c r="J59" s="129">
        <v>0</v>
      </c>
      <c r="K59" s="129">
        <v>0</v>
      </c>
      <c r="L59" s="129">
        <v>0</v>
      </c>
      <c r="M59" s="129">
        <v>0</v>
      </c>
      <c r="N59" s="129">
        <v>0</v>
      </c>
      <c r="O59" s="130">
        <v>-0.25</v>
      </c>
      <c r="P59" s="54"/>
      <c r="Q59" s="135" t="s">
        <v>118</v>
      </c>
      <c r="R59" s="138">
        <v>101</v>
      </c>
      <c r="S59" s="136" t="s">
        <v>192</v>
      </c>
      <c r="T59" s="139">
        <v>-0.25</v>
      </c>
      <c r="U59" s="14"/>
      <c r="V59" s="3"/>
    </row>
    <row r="60" spans="1:22" x14ac:dyDescent="0.25">
      <c r="A60" s="14"/>
      <c r="B60" s="756"/>
      <c r="C60" s="757"/>
      <c r="D60" s="757"/>
      <c r="E60" s="64"/>
      <c r="F60" s="640" t="s">
        <v>137</v>
      </c>
      <c r="G60" s="641"/>
      <c r="H60" s="129">
        <v>0.375</v>
      </c>
      <c r="I60" s="129">
        <v>0.375</v>
      </c>
      <c r="J60" s="129">
        <v>0.375</v>
      </c>
      <c r="K60" s="129">
        <v>0.375</v>
      </c>
      <c r="L60" s="129">
        <v>0.375</v>
      </c>
      <c r="M60" s="129">
        <v>0.375</v>
      </c>
      <c r="N60" s="129">
        <v>0.375</v>
      </c>
      <c r="O60" s="130">
        <v>0.375</v>
      </c>
      <c r="P60" s="14"/>
      <c r="Q60" s="135" t="s">
        <v>123</v>
      </c>
      <c r="R60" s="138">
        <v>100.5</v>
      </c>
      <c r="S60" s="136" t="s">
        <v>193</v>
      </c>
      <c r="T60" s="139">
        <v>-0.25</v>
      </c>
      <c r="U60" s="14"/>
      <c r="V60" s="3"/>
    </row>
    <row r="61" spans="1:22" ht="15.75" customHeight="1" x14ac:dyDescent="0.25">
      <c r="A61" s="14"/>
      <c r="B61" s="756"/>
      <c r="C61" s="757"/>
      <c r="D61" s="757"/>
      <c r="E61" s="74"/>
      <c r="F61" s="640" t="s">
        <v>139</v>
      </c>
      <c r="G61" s="641"/>
      <c r="H61" s="129">
        <v>0.625</v>
      </c>
      <c r="I61" s="129">
        <v>0.42499999999999999</v>
      </c>
      <c r="J61" s="129">
        <v>0.42499999999999999</v>
      </c>
      <c r="K61" s="129">
        <v>0.42499999999999999</v>
      </c>
      <c r="L61" s="129">
        <v>0.42499999999999999</v>
      </c>
      <c r="M61" s="129">
        <v>0.42499999999999999</v>
      </c>
      <c r="N61" s="129">
        <v>0.42499999999999999</v>
      </c>
      <c r="O61" s="130">
        <v>0.42499999999999999</v>
      </c>
      <c r="P61" s="14"/>
      <c r="Q61" s="135" t="s">
        <v>127</v>
      </c>
      <c r="R61" s="138">
        <v>100</v>
      </c>
      <c r="S61" s="136" t="s">
        <v>194</v>
      </c>
      <c r="T61" s="139">
        <v>-0.25</v>
      </c>
      <c r="U61" s="14"/>
      <c r="V61" s="3"/>
    </row>
    <row r="62" spans="1:22" ht="15.75" customHeight="1" x14ac:dyDescent="0.25">
      <c r="A62" s="14"/>
      <c r="B62" s="756"/>
      <c r="C62" s="757"/>
      <c r="D62" s="757"/>
      <c r="E62" s="70"/>
      <c r="F62" s="640" t="s">
        <v>142</v>
      </c>
      <c r="G62" s="641"/>
      <c r="H62" s="129">
        <v>1</v>
      </c>
      <c r="I62" s="129">
        <v>0.75</v>
      </c>
      <c r="J62" s="129">
        <v>0.75</v>
      </c>
      <c r="K62" s="129">
        <v>0.75</v>
      </c>
      <c r="L62" s="129">
        <v>0.75</v>
      </c>
      <c r="M62" s="129">
        <v>0.75</v>
      </c>
      <c r="N62" s="129">
        <v>0.75</v>
      </c>
      <c r="O62" s="130">
        <v>0.75</v>
      </c>
      <c r="P62" s="54"/>
      <c r="Q62" s="135" t="s">
        <v>131</v>
      </c>
      <c r="R62" s="138">
        <v>100</v>
      </c>
      <c r="S62" s="77" t="s">
        <v>105</v>
      </c>
      <c r="T62" s="77" t="s">
        <v>102</v>
      </c>
      <c r="U62" s="14"/>
      <c r="V62" s="3"/>
    </row>
    <row r="63" spans="1:22" ht="15.75" customHeight="1" x14ac:dyDescent="0.25">
      <c r="A63" s="14"/>
      <c r="B63" s="756"/>
      <c r="C63" s="757"/>
      <c r="D63" s="757"/>
      <c r="E63" s="70"/>
      <c r="F63" s="746" t="s">
        <v>144</v>
      </c>
      <c r="G63" s="747"/>
      <c r="H63" s="747"/>
      <c r="I63" s="747"/>
      <c r="J63" s="747"/>
      <c r="K63" s="747"/>
      <c r="L63" s="747"/>
      <c r="M63" s="747"/>
      <c r="N63" s="747"/>
      <c r="O63" s="748"/>
      <c r="P63" s="54"/>
      <c r="Q63" s="135" t="s">
        <v>133</v>
      </c>
      <c r="R63" s="138">
        <v>101.5</v>
      </c>
      <c r="S63" s="80" t="s">
        <v>136</v>
      </c>
      <c r="T63" s="140">
        <v>0.25</v>
      </c>
      <c r="U63" s="14"/>
      <c r="V63" s="3"/>
    </row>
    <row r="64" spans="1:22" ht="15.75" customHeight="1" x14ac:dyDescent="0.25">
      <c r="A64" s="14"/>
      <c r="B64" s="756"/>
      <c r="C64" s="757"/>
      <c r="D64" s="757"/>
      <c r="E64" s="64"/>
      <c r="F64" s="640" t="s">
        <v>146</v>
      </c>
      <c r="G64" s="641"/>
      <c r="H64" s="35">
        <v>-0.375</v>
      </c>
      <c r="I64" s="35">
        <v>-0.375</v>
      </c>
      <c r="J64" s="35">
        <v>-0.375</v>
      </c>
      <c r="K64" s="35">
        <v>-0.375</v>
      </c>
      <c r="L64" s="35">
        <v>-0.5</v>
      </c>
      <c r="M64" s="35">
        <v>-0.5</v>
      </c>
      <c r="N64" s="35">
        <v>-0.5</v>
      </c>
      <c r="O64" s="36" t="e">
        <v>#N/A</v>
      </c>
      <c r="P64" s="54"/>
      <c r="Q64" s="135" t="s">
        <v>892</v>
      </c>
      <c r="R64" s="138">
        <v>102</v>
      </c>
      <c r="S64" s="80" t="s">
        <v>54</v>
      </c>
      <c r="T64" s="140">
        <v>0</v>
      </c>
      <c r="U64" s="14"/>
      <c r="V64" s="3"/>
    </row>
    <row r="65" spans="1:35" ht="15.75" customHeight="1" x14ac:dyDescent="0.25">
      <c r="A65" s="14"/>
      <c r="B65" s="756"/>
      <c r="C65" s="757"/>
      <c r="D65" s="757"/>
      <c r="E65" s="64"/>
      <c r="F65" s="640" t="s">
        <v>197</v>
      </c>
      <c r="G65" s="641"/>
      <c r="H65" s="35">
        <v>-0.5</v>
      </c>
      <c r="I65" s="35">
        <v>-0.5</v>
      </c>
      <c r="J65" s="35">
        <v>-0.5</v>
      </c>
      <c r="K65" s="35">
        <v>-0.5</v>
      </c>
      <c r="L65" s="35">
        <v>-0.75</v>
      </c>
      <c r="M65" s="35">
        <v>-0.75</v>
      </c>
      <c r="N65" s="35">
        <v>-0.75</v>
      </c>
      <c r="O65" s="36" t="e">
        <v>#N/A</v>
      </c>
      <c r="P65" s="14"/>
      <c r="Q65" s="135" t="s">
        <v>195</v>
      </c>
      <c r="R65" s="138">
        <v>100</v>
      </c>
      <c r="S65" s="80" t="s">
        <v>141</v>
      </c>
      <c r="T65" s="140">
        <v>-0.5</v>
      </c>
      <c r="U65" s="14"/>
      <c r="V65" s="3"/>
    </row>
    <row r="66" spans="1:35" ht="15.75" customHeight="1" x14ac:dyDescent="0.25">
      <c r="A66" s="14"/>
      <c r="B66" s="756"/>
      <c r="C66" s="757"/>
      <c r="D66" s="757"/>
      <c r="E66" s="85"/>
      <c r="F66" s="640" t="s">
        <v>152</v>
      </c>
      <c r="G66" s="641"/>
      <c r="H66" s="35">
        <v>0</v>
      </c>
      <c r="I66" s="35">
        <v>0</v>
      </c>
      <c r="J66" s="35">
        <v>0</v>
      </c>
      <c r="K66" s="35">
        <v>0</v>
      </c>
      <c r="L66" s="35">
        <v>0</v>
      </c>
      <c r="M66" s="35">
        <v>0</v>
      </c>
      <c r="N66" s="35">
        <v>0</v>
      </c>
      <c r="O66" s="36" t="e">
        <v>#N/A</v>
      </c>
      <c r="P66" s="14"/>
      <c r="Q66" s="135" t="s">
        <v>196</v>
      </c>
      <c r="R66" s="138">
        <v>100</v>
      </c>
      <c r="S66" s="86" t="s">
        <v>143</v>
      </c>
      <c r="T66" s="140">
        <v>0.25</v>
      </c>
      <c r="U66" s="14"/>
      <c r="V66" s="3"/>
    </row>
    <row r="67" spans="1:35" ht="15.75" customHeight="1" x14ac:dyDescent="0.25">
      <c r="A67" s="14"/>
      <c r="B67" s="756"/>
      <c r="C67" s="757"/>
      <c r="D67" s="757"/>
      <c r="E67" s="87"/>
      <c r="F67" s="640" t="s">
        <v>158</v>
      </c>
      <c r="G67" s="641"/>
      <c r="H67" s="35">
        <v>-2</v>
      </c>
      <c r="I67" s="35">
        <v>-2</v>
      </c>
      <c r="J67" s="35">
        <v>-2</v>
      </c>
      <c r="K67" s="35">
        <v>-2</v>
      </c>
      <c r="L67" s="35">
        <v>-2</v>
      </c>
      <c r="M67" s="35">
        <v>-2.5</v>
      </c>
      <c r="N67" s="35" t="e">
        <v>#N/A</v>
      </c>
      <c r="O67" s="36" t="e">
        <v>#N/A</v>
      </c>
      <c r="P67" s="14"/>
      <c r="Q67" s="135"/>
      <c r="R67" s="514">
        <v>0</v>
      </c>
      <c r="S67" s="80" t="s">
        <v>145</v>
      </c>
      <c r="T67" s="140">
        <v>-0.5</v>
      </c>
      <c r="U67" s="14"/>
      <c r="V67" s="3"/>
    </row>
    <row r="68" spans="1:35" x14ac:dyDescent="0.25">
      <c r="A68" s="14"/>
      <c r="B68" s="756"/>
      <c r="C68" s="757"/>
      <c r="D68" s="757"/>
      <c r="E68" s="64"/>
      <c r="F68" s="640" t="s">
        <v>205</v>
      </c>
      <c r="G68" s="641"/>
      <c r="H68" s="35">
        <v>-1.5</v>
      </c>
      <c r="I68" s="35">
        <v>-1.5</v>
      </c>
      <c r="J68" s="35">
        <v>-1.5</v>
      </c>
      <c r="K68" s="35">
        <v>-1.5</v>
      </c>
      <c r="L68" s="35">
        <v>-1.5</v>
      </c>
      <c r="M68" s="35">
        <v>-1.75</v>
      </c>
      <c r="N68" s="35" t="e">
        <v>#N/A</v>
      </c>
      <c r="O68" s="36" t="e">
        <v>#N/A</v>
      </c>
      <c r="P68" s="14"/>
      <c r="Q68" s="745" t="s">
        <v>140</v>
      </c>
      <c r="R68" s="690"/>
      <c r="S68" s="80" t="s">
        <v>148</v>
      </c>
      <c r="T68" s="140">
        <v>0.25</v>
      </c>
      <c r="U68" s="14"/>
      <c r="V68" s="3"/>
      <c r="W68" s="3"/>
      <c r="X68" s="3"/>
      <c r="Y68" s="3"/>
      <c r="Z68" s="3"/>
      <c r="AA68" s="3"/>
      <c r="AB68" s="3"/>
      <c r="AC68" s="3"/>
      <c r="AD68" s="3"/>
      <c r="AE68" s="3"/>
      <c r="AF68" s="3"/>
      <c r="AG68" s="3"/>
      <c r="AH68" s="3"/>
      <c r="AI68" s="3"/>
    </row>
    <row r="69" spans="1:35" x14ac:dyDescent="0.25">
      <c r="A69" s="14"/>
      <c r="B69" s="713" t="s">
        <v>154</v>
      </c>
      <c r="C69" s="714"/>
      <c r="D69" s="714"/>
      <c r="E69" s="85"/>
      <c r="F69" s="640" t="s">
        <v>70</v>
      </c>
      <c r="G69" s="641"/>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743" t="s">
        <v>157</v>
      </c>
      <c r="C70" s="744"/>
      <c r="D70" s="744"/>
      <c r="E70" s="88"/>
      <c r="F70" s="746" t="s">
        <v>34</v>
      </c>
      <c r="G70" s="747"/>
      <c r="H70" s="747"/>
      <c r="I70" s="747"/>
      <c r="J70" s="747"/>
      <c r="K70" s="747"/>
      <c r="L70" s="747"/>
      <c r="M70" s="747"/>
      <c r="N70" s="747"/>
      <c r="O70" s="748"/>
      <c r="P70" s="14"/>
      <c r="Q70" s="142" t="s">
        <v>123</v>
      </c>
      <c r="R70" s="143">
        <v>7.375</v>
      </c>
      <c r="S70" s="42" t="s">
        <v>105</v>
      </c>
      <c r="T70" s="42" t="s">
        <v>106</v>
      </c>
      <c r="U70" s="14"/>
      <c r="V70" s="3"/>
      <c r="W70" s="3"/>
      <c r="X70" s="3"/>
      <c r="Y70" s="3"/>
      <c r="Z70" s="3"/>
      <c r="AA70" s="3"/>
      <c r="AB70" s="3"/>
      <c r="AC70" s="3"/>
      <c r="AD70" s="3"/>
      <c r="AE70" s="3"/>
      <c r="AF70" s="3"/>
      <c r="AG70" s="3"/>
      <c r="AH70" s="3"/>
      <c r="AI70" s="3"/>
    </row>
    <row r="71" spans="1:35" x14ac:dyDescent="0.25">
      <c r="A71" s="14"/>
      <c r="B71" s="739" t="s">
        <v>160</v>
      </c>
      <c r="C71" s="740"/>
      <c r="D71" s="740"/>
      <c r="E71" s="90"/>
      <c r="F71" s="640" t="s">
        <v>35</v>
      </c>
      <c r="G71" s="641"/>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715" t="s">
        <v>666</v>
      </c>
      <c r="C72" s="755"/>
      <c r="D72" s="755"/>
      <c r="E72" s="90"/>
      <c r="F72" s="640" t="s">
        <v>167</v>
      </c>
      <c r="G72" s="641"/>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55"/>
      <c r="C73" s="755"/>
      <c r="D73" s="755"/>
      <c r="E73" s="90"/>
      <c r="F73" s="640" t="s">
        <v>169</v>
      </c>
      <c r="G73" s="641"/>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55"/>
      <c r="C74" s="755"/>
      <c r="D74" s="755"/>
      <c r="E74" s="90"/>
      <c r="F74" s="640" t="s">
        <v>170</v>
      </c>
      <c r="G74" s="641"/>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55"/>
      <c r="C75" s="755"/>
      <c r="D75" s="755"/>
      <c r="E75" s="90"/>
      <c r="F75" s="640" t="s">
        <v>171</v>
      </c>
      <c r="G75" s="641"/>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54"/>
      <c r="C76" s="754"/>
      <c r="D76" s="754"/>
      <c r="E76" s="90"/>
      <c r="F76" s="746" t="s">
        <v>37</v>
      </c>
      <c r="G76" s="747"/>
      <c r="H76" s="747"/>
      <c r="I76" s="747"/>
      <c r="J76" s="747"/>
      <c r="K76" s="747"/>
      <c r="L76" s="747"/>
      <c r="M76" s="747"/>
      <c r="N76" s="747"/>
      <c r="O76" s="748"/>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40" t="s">
        <v>172</v>
      </c>
      <c r="G77" s="641"/>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40" t="s">
        <v>173</v>
      </c>
      <c r="G78" s="641"/>
      <c r="H78" s="35">
        <v>-1</v>
      </c>
      <c r="I78" s="35">
        <v>-1</v>
      </c>
      <c r="J78" s="35">
        <v>-1</v>
      </c>
      <c r="K78" s="35">
        <v>-1.25</v>
      </c>
      <c r="L78" s="35">
        <v>-1.25</v>
      </c>
      <c r="M78" s="35">
        <v>-1.25</v>
      </c>
      <c r="N78" s="35">
        <v>-1.25</v>
      </c>
      <c r="O78" s="36">
        <v>-1.25</v>
      </c>
      <c r="P78" s="14"/>
      <c r="Q78" s="649" t="s">
        <v>767</v>
      </c>
      <c r="R78" s="650"/>
      <c r="S78" s="650"/>
      <c r="T78" s="651"/>
      <c r="U78" s="54"/>
      <c r="W78" s="3"/>
      <c r="X78" s="3"/>
      <c r="Y78" s="3"/>
      <c r="Z78" s="3"/>
      <c r="AA78" s="3"/>
      <c r="AB78" s="3"/>
      <c r="AC78" s="3"/>
      <c r="AD78" s="3"/>
      <c r="AE78" s="3"/>
      <c r="AF78" s="3"/>
      <c r="AG78" s="3"/>
      <c r="AH78" s="3"/>
      <c r="AI78" s="3"/>
    </row>
    <row r="79" spans="1:35" x14ac:dyDescent="0.25">
      <c r="A79" s="14"/>
      <c r="B79" s="89"/>
      <c r="C79" s="89"/>
      <c r="D79" s="89"/>
      <c r="E79" s="90"/>
      <c r="F79" s="640" t="s">
        <v>174</v>
      </c>
      <c r="G79" s="641"/>
      <c r="H79" s="35">
        <v>-0.25</v>
      </c>
      <c r="I79" s="35">
        <v>-0.25</v>
      </c>
      <c r="J79" s="35">
        <v>-0.25</v>
      </c>
      <c r="K79" s="35">
        <v>-0.25</v>
      </c>
      <c r="L79" s="35">
        <v>-0.25</v>
      </c>
      <c r="M79" s="35">
        <v>-0.5</v>
      </c>
      <c r="N79" s="35">
        <v>-0.5</v>
      </c>
      <c r="O79" s="36">
        <v>-0.5</v>
      </c>
      <c r="P79" s="14"/>
      <c r="Q79" s="722" t="str">
        <f>'Feed(DSCR)'!$U$161</f>
        <v>Tier 1 States</v>
      </c>
      <c r="R79" s="721" t="str">
        <f>'Feed(DSCR)'!$V$161</f>
        <v>AZ, CA, CO, CT, GA, HI, MA, MD, NJ, NV, OR, SC, UT, VA, WA</v>
      </c>
      <c r="S79" s="721"/>
      <c r="T79" s="719">
        <f>'Feed(DSCR)'!$W$161</f>
        <v>0</v>
      </c>
      <c r="U79" s="54"/>
      <c r="W79" s="3"/>
      <c r="X79" s="3"/>
      <c r="Y79" s="3"/>
      <c r="Z79" s="3"/>
      <c r="AA79" s="3"/>
      <c r="AB79" s="3"/>
      <c r="AC79" s="3"/>
      <c r="AD79" s="3"/>
      <c r="AE79" s="3"/>
      <c r="AF79" s="3"/>
      <c r="AG79" s="3"/>
      <c r="AH79" s="3"/>
      <c r="AI79" s="3"/>
    </row>
    <row r="80" spans="1:35" ht="15.75" thickBot="1" x14ac:dyDescent="0.3">
      <c r="A80" s="14"/>
      <c r="B80" s="754"/>
      <c r="C80" s="754"/>
      <c r="D80" s="754"/>
      <c r="E80" s="90"/>
      <c r="F80" s="647" t="s">
        <v>175</v>
      </c>
      <c r="G80" s="648"/>
      <c r="H80" s="363">
        <v>0</v>
      </c>
      <c r="I80" s="363">
        <v>0</v>
      </c>
      <c r="J80" s="363">
        <v>0</v>
      </c>
      <c r="K80" s="363">
        <v>0</v>
      </c>
      <c r="L80" s="363">
        <v>0</v>
      </c>
      <c r="M80" s="363">
        <v>0</v>
      </c>
      <c r="N80" s="363">
        <v>0</v>
      </c>
      <c r="O80" s="364">
        <v>0</v>
      </c>
      <c r="P80" s="14"/>
      <c r="Q80" s="722"/>
      <c r="R80" s="721"/>
      <c r="S80" s="721"/>
      <c r="T80" s="719"/>
      <c r="U80" s="14"/>
    </row>
    <row r="81" spans="1:21" x14ac:dyDescent="0.25">
      <c r="A81" s="14"/>
      <c r="B81" s="366"/>
      <c r="C81" s="366"/>
      <c r="D81" s="367"/>
      <c r="E81" s="90"/>
      <c r="F81" s="369"/>
      <c r="G81" s="370"/>
      <c r="H81" s="370"/>
      <c r="I81" s="370"/>
      <c r="J81" s="370"/>
      <c r="K81" s="370"/>
      <c r="L81" s="370"/>
      <c r="M81" s="370"/>
      <c r="N81" s="370"/>
      <c r="O81" s="371"/>
      <c r="P81" s="14"/>
      <c r="Q81" s="722" t="str">
        <f>'Feed(DSCR)'!$U$162</f>
        <v>Tier 2 States</v>
      </c>
      <c r="R81" s="721" t="str">
        <f>'Feed(DSCR)'!$V$162</f>
        <v>DC, FL, ID, IL, IN, LA, MI, MN, MO, NC, OH, OK, PA, RI, TN, TX</v>
      </c>
      <c r="S81" s="721"/>
      <c r="T81" s="719">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722"/>
      <c r="R82" s="721"/>
      <c r="S82" s="721"/>
      <c r="T82" s="719"/>
      <c r="U82" s="14"/>
    </row>
    <row r="83" spans="1:21" ht="15" customHeight="1" x14ac:dyDescent="0.25">
      <c r="A83" s="14"/>
      <c r="B83" s="366"/>
      <c r="C83" s="366"/>
      <c r="D83" s="367"/>
      <c r="E83" s="90"/>
      <c r="F83" s="372"/>
      <c r="G83" s="365"/>
      <c r="H83" s="365"/>
      <c r="I83" s="365"/>
      <c r="J83" s="365"/>
      <c r="K83" s="365"/>
      <c r="L83" s="365"/>
      <c r="M83" s="365"/>
      <c r="N83" s="365"/>
      <c r="O83" s="373"/>
      <c r="P83" s="14"/>
      <c r="Q83" s="722" t="str">
        <f>'Feed(DSCR)'!$U$163</f>
        <v>Tier 3 States</v>
      </c>
      <c r="R83" s="721" t="str">
        <f>'Feed(DSCR)'!$V$163</f>
        <v>AK, AL, AR, DE, IA, KS, KY, ME, MS, MT, ND, NE, NH, NM, SD, VT WI, WV, WY</v>
      </c>
      <c r="S83" s="721"/>
      <c r="T83" s="719">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729"/>
      <c r="R84" s="730"/>
      <c r="S84" s="730"/>
      <c r="T84" s="720"/>
      <c r="U84" s="14"/>
    </row>
    <row r="85" spans="1:21" ht="15" customHeight="1" x14ac:dyDescent="0.25">
      <c r="A85" s="14"/>
      <c r="B85" s="366"/>
      <c r="C85" s="366"/>
      <c r="D85" s="367"/>
      <c r="E85" s="90"/>
      <c r="F85" s="372"/>
      <c r="G85" s="365"/>
      <c r="H85" s="365"/>
      <c r="I85" s="365"/>
      <c r="J85" s="365"/>
      <c r="K85" s="365"/>
      <c r="L85" s="365"/>
      <c r="M85" s="365"/>
      <c r="N85" s="365"/>
      <c r="O85" s="373"/>
      <c r="P85" s="14"/>
      <c r="Q85" s="616"/>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53"/>
      <c r="C87" s="753"/>
      <c r="D87" s="108"/>
      <c r="E87" s="108"/>
      <c r="F87" s="159"/>
      <c r="G87" s="159"/>
      <c r="H87" s="161"/>
      <c r="I87" s="161"/>
      <c r="J87" s="161"/>
      <c r="K87" s="161"/>
      <c r="L87" s="161"/>
      <c r="M87" s="161"/>
      <c r="N87" s="161"/>
      <c r="O87" s="161"/>
      <c r="Q87" s="3"/>
      <c r="R87" s="3"/>
    </row>
    <row r="88" spans="1:21" ht="15" customHeight="1" x14ac:dyDescent="0.25">
      <c r="B88" s="753"/>
      <c r="C88" s="753"/>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N+sNoH/ZlEmljv5cP2SP9wGjObY/G9RquxkIHREA727nqt8vIVi6jvjOndKSkbH7UyZNR3OxRUqeNq5ky9UT/g==" saltValue="aOb/tvh1jFbq84DujRKxdQ==" spinCount="100000" sheet="1" objects="1" scenarios="1"/>
  <mergeCells count="165">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18:G18"/>
    <mergeCell ref="Q18:R18"/>
    <mergeCell ref="F19:G19"/>
    <mergeCell ref="Q19:R19"/>
    <mergeCell ref="F14:G14"/>
    <mergeCell ref="Q14:R14"/>
    <mergeCell ref="F15:G15"/>
    <mergeCell ref="Q15:R15"/>
    <mergeCell ref="F16:G16"/>
    <mergeCell ref="Q16:R16"/>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26:G26"/>
    <mergeCell ref="Q26:R26"/>
    <mergeCell ref="U26:U27"/>
    <mergeCell ref="F27:G27"/>
    <mergeCell ref="Q27:R27"/>
    <mergeCell ref="F28:G28"/>
    <mergeCell ref="Q28:R28"/>
    <mergeCell ref="U28:U29"/>
    <mergeCell ref="F29:O29"/>
    <mergeCell ref="Q29:R29"/>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B87:C87"/>
    <mergeCell ref="B88:C88"/>
    <mergeCell ref="B76:D76"/>
    <mergeCell ref="B80:D80"/>
    <mergeCell ref="B70:D70"/>
    <mergeCell ref="B71:D71"/>
    <mergeCell ref="B72:D75"/>
    <mergeCell ref="F66:G66"/>
    <mergeCell ref="F67:G67"/>
    <mergeCell ref="F68:G68"/>
    <mergeCell ref="B69:D69"/>
    <mergeCell ref="F69:G69"/>
    <mergeCell ref="B59:D68"/>
    <mergeCell ref="F59:G59"/>
    <mergeCell ref="F60:G60"/>
    <mergeCell ref="F61:G61"/>
    <mergeCell ref="F62:G62"/>
    <mergeCell ref="F65:G65"/>
    <mergeCell ref="F78:G78"/>
    <mergeCell ref="F79:G79"/>
    <mergeCell ref="F76:O76"/>
    <mergeCell ref="F77:G77"/>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 ref="Q68:R68"/>
  </mergeCells>
  <conditionalFormatting sqref="B51:B52">
    <cfRule type="containsText" dxfId="197" priority="21" operator="containsText" text="n/a">
      <formula>NOT(ISERROR(SEARCH("n/a",B51)))</formula>
    </cfRule>
  </conditionalFormatting>
  <conditionalFormatting sqref="B55 D55">
    <cfRule type="containsText" dxfId="196" priority="28" operator="containsText" text="n/a">
      <formula>NOT(ISERROR(SEARCH("n/a",B55)))</formula>
    </cfRule>
  </conditionalFormatting>
  <conditionalFormatting sqref="B58">
    <cfRule type="containsText" dxfId="195" priority="29" operator="containsText" text="n/a">
      <formula>NOT(ISERROR(SEARCH("n/a",B58)))</formula>
    </cfRule>
  </conditionalFormatting>
  <conditionalFormatting sqref="B69">
    <cfRule type="containsText" dxfId="194" priority="23" operator="containsText" text="n/a">
      <formula>NOT(ISERROR(SEARCH("n/a",B69)))</formula>
    </cfRule>
  </conditionalFormatting>
  <conditionalFormatting sqref="B71">
    <cfRule type="containsText" dxfId="193" priority="15" operator="containsText" text="n/a">
      <formula>NOT(ISERROR(SEARCH("n/a",B71)))</formula>
    </cfRule>
  </conditionalFormatting>
  <conditionalFormatting sqref="B53:D53">
    <cfRule type="containsText" dxfId="192" priority="18" operator="containsText" text="n/a">
      <formula>NOT(ISERROR(SEARCH("n/a",B53)))</formula>
    </cfRule>
  </conditionalFormatting>
  <conditionalFormatting sqref="B8:O8 B10:D10">
    <cfRule type="containsText" dxfId="191" priority="51" operator="containsText" text="n/a">
      <formula>NOT(ISERROR(SEARCH("n/a",B8)))</formula>
    </cfRule>
  </conditionalFormatting>
  <conditionalFormatting sqref="C14:C48">
    <cfRule type="containsErrors" dxfId="190" priority="47">
      <formula>ISERROR(C14)</formula>
    </cfRule>
  </conditionalFormatting>
  <conditionalFormatting sqref="C14:C48 C51:C52">
    <cfRule type="containsText" dxfId="189" priority="20" operator="containsText" text="n/a">
      <formula>NOT(ISERROR(SEARCH("n/a",C14)))</formula>
    </cfRule>
  </conditionalFormatting>
  <conditionalFormatting sqref="D21:D48">
    <cfRule type="containsErrors" dxfId="188" priority="46">
      <formula>ISERROR(D21)</formula>
    </cfRule>
  </conditionalFormatting>
  <conditionalFormatting sqref="D21:D48 D51:D52">
    <cfRule type="containsText" dxfId="187" priority="19" operator="containsText" text="n/a">
      <formula>NOT(ISERROR(SEARCH("n/a",D21)))</formula>
    </cfRule>
  </conditionalFormatting>
  <conditionalFormatting sqref="E10:E50">
    <cfRule type="containsErrors" dxfId="186" priority="55">
      <formula>ISERROR(E10)</formula>
    </cfRule>
  </conditionalFormatting>
  <conditionalFormatting sqref="F9:F10">
    <cfRule type="containsText" dxfId="185" priority="52" operator="containsText" text="n/a">
      <formula>NOT(ISERROR(SEARCH("n/a",F9)))</formula>
    </cfRule>
  </conditionalFormatting>
  <conditionalFormatting sqref="F20:F22">
    <cfRule type="containsText" dxfId="184" priority="31" operator="containsText" text="n/a">
      <formula>NOT(ISERROR(SEARCH("n/a",F20)))</formula>
    </cfRule>
  </conditionalFormatting>
  <conditionalFormatting sqref="F29">
    <cfRule type="containsText" dxfId="183" priority="16" operator="containsText" text="n/a">
      <formula>NOT(ISERROR(SEARCH("n/a",F29)))</formula>
    </cfRule>
  </conditionalFormatting>
  <conditionalFormatting sqref="F35">
    <cfRule type="containsText" dxfId="182" priority="39" operator="containsText" text="n/a">
      <formula>NOT(ISERROR(SEARCH("n/a",F35)))</formula>
    </cfRule>
  </conditionalFormatting>
  <conditionalFormatting sqref="F45">
    <cfRule type="containsText" dxfId="181" priority="38" operator="containsText" text="n/a">
      <formula>NOT(ISERROR(SEARCH("n/a",F45)))</formula>
    </cfRule>
  </conditionalFormatting>
  <conditionalFormatting sqref="F50">
    <cfRule type="containsText" dxfId="180" priority="37" operator="containsText" text="n/a">
      <formula>NOT(ISERROR(SEARCH("n/a",F50)))</formula>
    </cfRule>
  </conditionalFormatting>
  <conditionalFormatting sqref="F63">
    <cfRule type="containsText" dxfId="179" priority="36" operator="containsText" text="n/a">
      <formula>NOT(ISERROR(SEARCH("n/a",F63)))</formula>
    </cfRule>
  </conditionalFormatting>
  <conditionalFormatting sqref="F70">
    <cfRule type="containsText" dxfId="178" priority="35" operator="containsText" text="n/a">
      <formula>NOT(ISERROR(SEARCH("n/a",F70)))</formula>
    </cfRule>
  </conditionalFormatting>
  <conditionalFormatting sqref="F76">
    <cfRule type="containsText" dxfId="177" priority="34" operator="containsText" text="n/a">
      <formula>NOT(ISERROR(SEARCH("n/a",F76)))</formula>
    </cfRule>
  </conditionalFormatting>
  <conditionalFormatting sqref="H10:O10">
    <cfRule type="containsText" dxfId="176" priority="50" operator="containsText" text="n/a">
      <formula>NOT(ISERROR(SEARCH("n/a",H10)))</formula>
    </cfRule>
  </conditionalFormatting>
  <conditionalFormatting sqref="H20:O20">
    <cfRule type="containsText" dxfId="175" priority="32" operator="containsText" text="n/a">
      <formula>NOT(ISERROR(SEARCH("n/a",H20)))</formula>
    </cfRule>
  </conditionalFormatting>
  <conditionalFormatting sqref="N11:N16 M11:M18 H11:L19">
    <cfRule type="containsText" dxfId="174" priority="54" operator="containsText" text="n/a">
      <formula>NOT(ISERROR(SEARCH("n/a",H11)))</formula>
    </cfRule>
    <cfRule type="containsErrors" dxfId="173" priority="59">
      <formula>ISERROR(H11)</formula>
    </cfRule>
  </conditionalFormatting>
  <conditionalFormatting sqref="O11:O14">
    <cfRule type="containsText" dxfId="172" priority="48" operator="containsText" text="n/a">
      <formula>NOT(ISERROR(SEARCH("n/a",O11)))</formula>
    </cfRule>
    <cfRule type="containsErrors" dxfId="171" priority="49">
      <formula>ISERROR(O11)</formula>
    </cfRule>
  </conditionalFormatting>
  <conditionalFormatting sqref="Q36:Q39">
    <cfRule type="containsText" dxfId="170" priority="40" operator="containsText" text="Rate">
      <formula>NOT(ISERROR(SEARCH("Rate",Q36)))</formula>
    </cfRule>
    <cfRule type="expression" dxfId="169" priority="41">
      <formula>Output_NetPrice_JM &lt; 99</formula>
    </cfRule>
    <cfRule type="expression" dxfId="168" priority="42">
      <formula>Output_NetPrice_ExpNR &lt; 99</formula>
    </cfRule>
  </conditionalFormatting>
  <conditionalFormatting sqref="Q55">
    <cfRule type="containsText" dxfId="167" priority="33" operator="containsText" text="n/a">
      <formula>NOT(ISERROR(SEARCH("n/a",Q55)))</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2" t="s">
        <v>0</v>
      </c>
      <c r="K1" s="2"/>
      <c r="L1" s="2"/>
      <c r="M1" s="2"/>
      <c r="N1" s="2"/>
      <c r="O1" s="2"/>
      <c r="P1" s="3"/>
    </row>
    <row r="2" spans="1:24" ht="17.45" customHeight="1" x14ac:dyDescent="0.25">
      <c r="A2"/>
      <c r="B2"/>
      <c r="C2"/>
      <c r="D2"/>
      <c r="E2"/>
      <c r="G2" s="4"/>
      <c r="H2" s="4"/>
      <c r="I2" s="4"/>
      <c r="J2" s="543" t="s">
        <v>1</v>
      </c>
      <c r="K2" s="4"/>
      <c r="L2" s="4"/>
      <c r="M2" s="4"/>
      <c r="N2" s="2"/>
      <c r="O2" s="2"/>
      <c r="P2" s="3"/>
    </row>
    <row r="3" spans="1:24" ht="17.45" customHeight="1" x14ac:dyDescent="0.25">
      <c r="A3"/>
      <c r="B3"/>
      <c r="C3"/>
      <c r="D3"/>
      <c r="E3"/>
      <c r="G3" s="4"/>
      <c r="H3" s="4"/>
      <c r="I3" s="4"/>
      <c r="J3" s="543"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6">
        <f ca="1">TODAY()</f>
        <v>46269</v>
      </c>
      <c r="C5" s="512"/>
      <c r="G5" s="9"/>
      <c r="H5" s="9"/>
      <c r="I5" s="545" t="s">
        <v>3</v>
      </c>
      <c r="J5" s="117">
        <v>46223</v>
      </c>
      <c r="K5" s="117"/>
      <c r="L5" s="117"/>
      <c r="M5" s="496"/>
      <c r="N5" s="3"/>
      <c r="O5" s="3"/>
    </row>
    <row r="6" spans="1:24" ht="17.45" customHeight="1" x14ac:dyDescent="0.25">
      <c r="A6" s="520"/>
      <c r="B6" s="770" t="s">
        <v>4</v>
      </c>
      <c r="C6" s="772"/>
      <c r="D6" s="521"/>
      <c r="E6" s="670" t="s">
        <v>900</v>
      </c>
      <c r="F6" s="671"/>
      <c r="G6" s="671"/>
      <c r="H6" s="671"/>
      <c r="I6" s="671"/>
      <c r="J6" s="672"/>
      <c r="K6" s="522"/>
      <c r="L6" s="523"/>
      <c r="M6" s="676" t="s">
        <v>901</v>
      </c>
      <c r="N6" s="677"/>
      <c r="O6" s="677"/>
      <c r="P6" s="678"/>
      <c r="Q6" s="523"/>
    </row>
    <row r="7" spans="1:24" ht="17.45" customHeight="1" x14ac:dyDescent="0.25">
      <c r="A7" s="11"/>
      <c r="B7" s="619"/>
      <c r="C7" s="787"/>
      <c r="D7" s="13"/>
      <c r="E7" s="673"/>
      <c r="F7" s="674"/>
      <c r="G7" s="674"/>
      <c r="H7" s="674"/>
      <c r="I7" s="674"/>
      <c r="J7" s="675"/>
      <c r="K7" s="12"/>
      <c r="L7" s="14"/>
      <c r="M7" s="679"/>
      <c r="N7" s="680"/>
      <c r="O7" s="680"/>
      <c r="P7" s="681"/>
      <c r="Q7" s="14"/>
    </row>
    <row r="8" spans="1:24" ht="15.75" customHeight="1" x14ac:dyDescent="0.25">
      <c r="A8" s="11"/>
      <c r="B8" s="621"/>
      <c r="C8" s="788"/>
      <c r="D8" s="14"/>
      <c r="E8" s="443"/>
      <c r="F8" s="444"/>
      <c r="G8" s="444"/>
      <c r="H8" s="444"/>
      <c r="I8" s="444"/>
      <c r="J8" s="442"/>
      <c r="K8" s="14"/>
      <c r="L8" s="14"/>
      <c r="M8" s="443"/>
      <c r="N8" s="444"/>
      <c r="O8" s="444"/>
      <c r="P8" s="442"/>
      <c r="Q8" s="11"/>
    </row>
    <row r="9" spans="1:24" ht="15.75" x14ac:dyDescent="0.25">
      <c r="A9" s="11"/>
      <c r="B9" s="623" t="s">
        <v>7</v>
      </c>
      <c r="C9" s="789"/>
      <c r="D9" s="14"/>
      <c r="E9" s="682" t="s">
        <v>8</v>
      </c>
      <c r="F9" s="683"/>
      <c r="G9" s="683"/>
      <c r="H9" s="683"/>
      <c r="I9" s="683"/>
      <c r="J9" s="684"/>
      <c r="K9" s="18"/>
      <c r="L9" s="14"/>
      <c r="M9" s="19"/>
      <c r="N9" s="20"/>
      <c r="O9" s="21" t="s">
        <v>9</v>
      </c>
      <c r="P9" s="22"/>
      <c r="Q9" s="14"/>
    </row>
    <row r="10" spans="1:24" ht="15.75" customHeight="1" x14ac:dyDescent="0.25">
      <c r="A10" s="11"/>
      <c r="B10" s="445" t="s">
        <v>10</v>
      </c>
      <c r="C10" s="446" t="s">
        <v>210</v>
      </c>
      <c r="D10" s="14"/>
      <c r="E10" s="685" t="s">
        <v>12</v>
      </c>
      <c r="F10" s="686"/>
      <c r="G10" s="447" t="s">
        <v>13</v>
      </c>
      <c r="H10" s="447" t="s">
        <v>14</v>
      </c>
      <c r="I10" s="447" t="s">
        <v>15</v>
      </c>
      <c r="J10" s="446" t="s">
        <v>16</v>
      </c>
      <c r="K10" s="26"/>
      <c r="L10" s="14"/>
      <c r="M10" s="661" t="s">
        <v>22</v>
      </c>
      <c r="N10" s="662"/>
      <c r="O10" s="27">
        <v>0</v>
      </c>
      <c r="P10" s="362"/>
      <c r="Q10" s="14"/>
    </row>
    <row r="11" spans="1:24" ht="14.25" customHeight="1" x14ac:dyDescent="0.25">
      <c r="A11" s="11"/>
      <c r="B11" s="28">
        <v>7.5</v>
      </c>
      <c r="C11" s="515">
        <v>96.5</v>
      </c>
      <c r="D11" s="14"/>
      <c r="E11" s="663" t="s">
        <v>902</v>
      </c>
      <c r="F11" s="664">
        <v>0</v>
      </c>
      <c r="G11" s="29">
        <v>1</v>
      </c>
      <c r="H11" s="29">
        <v>0.75</v>
      </c>
      <c r="I11" s="29">
        <v>0.5</v>
      </c>
      <c r="J11" s="30">
        <v>0.25</v>
      </c>
      <c r="K11" s="31"/>
      <c r="L11" s="14"/>
      <c r="M11" s="627" t="s">
        <v>24</v>
      </c>
      <c r="N11" s="628"/>
      <c r="O11" s="32" t="s">
        <v>32</v>
      </c>
      <c r="P11" s="362"/>
      <c r="Q11" s="14"/>
      <c r="R11" s="33"/>
      <c r="S11" s="33"/>
      <c r="T11" s="33"/>
      <c r="U11" s="33"/>
      <c r="V11" s="33"/>
      <c r="W11" s="33"/>
      <c r="X11" s="33"/>
    </row>
    <row r="12" spans="1:24" x14ac:dyDescent="0.25">
      <c r="A12" s="11"/>
      <c r="B12" s="28">
        <v>7.625</v>
      </c>
      <c r="C12" s="515">
        <v>96.875</v>
      </c>
      <c r="D12" s="14"/>
      <c r="E12" s="629" t="s">
        <v>43</v>
      </c>
      <c r="F12" s="630">
        <v>0</v>
      </c>
      <c r="G12" s="35">
        <v>0.75</v>
      </c>
      <c r="H12" s="35">
        <v>0.5</v>
      </c>
      <c r="I12" s="29">
        <v>0.25</v>
      </c>
      <c r="J12" s="36">
        <v>0</v>
      </c>
      <c r="K12" s="31"/>
      <c r="L12" s="14"/>
      <c r="M12" s="627" t="s">
        <v>26</v>
      </c>
      <c r="N12" s="628"/>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7.75</v>
      </c>
      <c r="C13" s="515">
        <v>97.25</v>
      </c>
      <c r="D13" s="14"/>
      <c r="E13" s="629" t="s">
        <v>45</v>
      </c>
      <c r="F13" s="630">
        <v>0</v>
      </c>
      <c r="G13" s="35">
        <v>0.5</v>
      </c>
      <c r="H13" s="35">
        <v>0.25</v>
      </c>
      <c r="I13" s="29">
        <v>0</v>
      </c>
      <c r="J13" s="36">
        <v>-0.25</v>
      </c>
      <c r="K13" s="31"/>
      <c r="L13" s="14"/>
      <c r="M13" s="627" t="s">
        <v>28</v>
      </c>
      <c r="N13" s="628"/>
      <c r="O13" s="32" t="s">
        <v>32</v>
      </c>
      <c r="P13" s="362">
        <v>0</v>
      </c>
      <c r="Q13" s="14"/>
      <c r="R13" s="33"/>
      <c r="S13" s="33"/>
      <c r="T13" s="33"/>
      <c r="U13" s="33"/>
      <c r="V13" s="33"/>
      <c r="W13" s="33"/>
      <c r="X13" s="33"/>
    </row>
    <row r="14" spans="1:24" ht="15.75" customHeight="1" x14ac:dyDescent="0.25">
      <c r="A14" s="11"/>
      <c r="B14" s="28">
        <v>7.875</v>
      </c>
      <c r="C14" s="515">
        <v>97.625</v>
      </c>
      <c r="D14" s="14"/>
      <c r="E14" s="629" t="s">
        <v>903</v>
      </c>
      <c r="F14" s="630">
        <v>0</v>
      </c>
      <c r="G14" s="35">
        <v>0</v>
      </c>
      <c r="H14" s="35">
        <v>-0.25</v>
      </c>
      <c r="I14" s="29">
        <v>-0.5</v>
      </c>
      <c r="J14" s="36">
        <v>-1</v>
      </c>
      <c r="K14" s="31"/>
      <c r="L14" s="14"/>
      <c r="M14" s="627" t="s">
        <v>31</v>
      </c>
      <c r="N14" s="628"/>
      <c r="O14" s="32" t="s">
        <v>32</v>
      </c>
      <c r="P14" s="384">
        <f>IF(OR(O14="",O10=""),"",IF(O14="&lt; 6 Months",NA(),0))</f>
        <v>0</v>
      </c>
      <c r="Q14" s="14"/>
      <c r="R14" s="33"/>
      <c r="S14" s="33"/>
      <c r="T14" s="33"/>
      <c r="U14" s="33"/>
      <c r="V14" s="33"/>
      <c r="W14" s="33"/>
      <c r="X14" s="33"/>
    </row>
    <row r="15" spans="1:24" x14ac:dyDescent="0.25">
      <c r="A15" s="11"/>
      <c r="B15" s="28">
        <v>8</v>
      </c>
      <c r="C15" s="515">
        <v>98</v>
      </c>
      <c r="D15" s="14"/>
      <c r="E15" s="629" t="s">
        <v>904</v>
      </c>
      <c r="F15" s="630">
        <v>0</v>
      </c>
      <c r="G15" s="35">
        <v>-0.25</v>
      </c>
      <c r="H15" s="35">
        <v>-0.375</v>
      </c>
      <c r="I15" s="29">
        <v>-0.75</v>
      </c>
      <c r="J15" s="36">
        <v>-1.25</v>
      </c>
      <c r="K15" s="31"/>
      <c r="L15" s="14"/>
      <c r="M15" s="627" t="s">
        <v>34</v>
      </c>
      <c r="N15" s="628"/>
      <c r="O15" s="32" t="s">
        <v>32</v>
      </c>
      <c r="P15" s="362" t="e">
        <f>IF(OR($O$11="", $O$15=""),"",INDEX($G$33:$J$34,MATCH($O$15,$E$33:$E$34,0),MATCH($O$11,$G$10:$J$10,0)))</f>
        <v>#N/A</v>
      </c>
      <c r="Q15" s="14"/>
      <c r="R15" s="33"/>
      <c r="S15" s="33"/>
      <c r="T15" s="33"/>
      <c r="U15" s="33"/>
      <c r="V15" s="33"/>
      <c r="W15" s="33"/>
      <c r="X15" s="33"/>
    </row>
    <row r="16" spans="1:24" ht="14.25" customHeight="1" x14ac:dyDescent="0.25">
      <c r="A16" s="11"/>
      <c r="B16" s="28">
        <v>8.125</v>
      </c>
      <c r="C16" s="515">
        <v>98.375</v>
      </c>
      <c r="D16" s="14"/>
      <c r="E16" s="629" t="s">
        <v>905</v>
      </c>
      <c r="F16" s="630">
        <v>0</v>
      </c>
      <c r="G16" s="35">
        <v>-0.5</v>
      </c>
      <c r="H16" s="35">
        <v>-0.625</v>
      </c>
      <c r="I16" s="29">
        <v>-1</v>
      </c>
      <c r="J16" s="36">
        <v>-1.5</v>
      </c>
      <c r="K16" s="31"/>
      <c r="L16" s="14"/>
      <c r="M16" s="627" t="s">
        <v>37</v>
      </c>
      <c r="N16" s="628"/>
      <c r="O16" s="32" t="s">
        <v>32</v>
      </c>
      <c r="P16" s="362" t="e">
        <f>IF(OR($O$11="",$O$16="",$O$16="NONE"),0,NA())</f>
        <v>#N/A</v>
      </c>
      <c r="Q16" s="14"/>
      <c r="R16" s="33"/>
      <c r="S16" s="33"/>
      <c r="T16" s="33"/>
      <c r="U16" s="33"/>
      <c r="V16" s="33"/>
      <c r="W16" s="33"/>
      <c r="X16" s="33"/>
    </row>
    <row r="17" spans="1:20" ht="15.75" x14ac:dyDescent="0.25">
      <c r="A17" s="11"/>
      <c r="B17" s="28">
        <v>8.25</v>
      </c>
      <c r="C17" s="515">
        <v>98.75</v>
      </c>
      <c r="D17" s="14"/>
      <c r="E17" s="682"/>
      <c r="F17" s="683"/>
      <c r="G17" s="683"/>
      <c r="H17" s="683"/>
      <c r="I17" s="683"/>
      <c r="J17" s="684"/>
      <c r="K17" s="31"/>
      <c r="L17" s="14"/>
      <c r="M17" s="627" t="s">
        <v>40</v>
      </c>
      <c r="N17" s="628"/>
      <c r="O17" s="32" t="s">
        <v>210</v>
      </c>
      <c r="P17" s="362">
        <v>0</v>
      </c>
      <c r="Q17" s="14"/>
      <c r="R17" s="33"/>
      <c r="S17" s="33"/>
      <c r="T17" s="33"/>
    </row>
    <row r="18" spans="1:20" ht="15.75" x14ac:dyDescent="0.25">
      <c r="A18" s="11"/>
      <c r="B18" s="28">
        <v>8.375</v>
      </c>
      <c r="C18" s="515">
        <v>99.125</v>
      </c>
      <c r="D18" s="14"/>
      <c r="E18" s="524"/>
      <c r="F18" s="525"/>
      <c r="G18" s="525"/>
      <c r="H18" s="525"/>
      <c r="I18" s="525"/>
      <c r="J18" s="526"/>
      <c r="K18" s="31"/>
      <c r="L18" s="14"/>
      <c r="M18" s="627" t="s">
        <v>42</v>
      </c>
      <c r="N18" s="628"/>
      <c r="O18" s="32" t="s">
        <v>32</v>
      </c>
      <c r="P18" s="362">
        <v>0</v>
      </c>
      <c r="Q18" s="14"/>
      <c r="R18" s="33"/>
      <c r="S18" s="33"/>
      <c r="T18" s="33"/>
    </row>
    <row r="19" spans="1:20" ht="15.75" customHeight="1" x14ac:dyDescent="0.25">
      <c r="A19" s="11"/>
      <c r="B19" s="28">
        <v>8.5</v>
      </c>
      <c r="C19" s="515">
        <v>99.5</v>
      </c>
      <c r="D19" s="14"/>
      <c r="E19" s="658" t="s">
        <v>48</v>
      </c>
      <c r="F19" s="659"/>
      <c r="G19" s="659"/>
      <c r="H19" s="659"/>
      <c r="I19" s="659"/>
      <c r="J19" s="660"/>
      <c r="K19" s="31"/>
      <c r="L19" s="14"/>
      <c r="M19" s="627" t="s">
        <v>593</v>
      </c>
      <c r="N19" s="628"/>
      <c r="O19" s="32" t="s">
        <v>32</v>
      </c>
      <c r="P19" s="362" t="e">
        <f>IF(OR($O$11="",$O$19=""),"",IF(O19="US Citizen",0,INDEX($G$36:$J$36,MATCH($O$19,E36,0),MATCH($O$11,$G$10:$J$10,0))))</f>
        <v>#N/A</v>
      </c>
      <c r="Q19" s="14"/>
      <c r="R19" s="33"/>
      <c r="S19" s="33"/>
      <c r="T19" s="33"/>
    </row>
    <row r="20" spans="1:20" ht="15.75" customHeight="1" x14ac:dyDescent="0.25">
      <c r="A20" s="11"/>
      <c r="B20" s="28">
        <v>8.625</v>
      </c>
      <c r="C20" s="515">
        <v>99.875</v>
      </c>
      <c r="D20" s="14"/>
      <c r="E20" s="631" t="s">
        <v>69</v>
      </c>
      <c r="F20" s="632">
        <v>0</v>
      </c>
      <c r="G20" s="44">
        <v>0</v>
      </c>
      <c r="H20" s="44">
        <v>0</v>
      </c>
      <c r="I20" s="44">
        <v>0</v>
      </c>
      <c r="J20" s="45">
        <v>0</v>
      </c>
      <c r="K20" s="31"/>
      <c r="L20" s="14"/>
      <c r="M20" s="627" t="s">
        <v>46</v>
      </c>
      <c r="N20" s="628"/>
      <c r="O20" s="32" t="s">
        <v>32</v>
      </c>
      <c r="P20" s="362" t="e">
        <f>IF(O20="DTI ≤40%",0,IF(OR($O$11="",$O$20=""),"",INDEX($G$37:$J$37,MATCH($O$20,E37,0),MATCH($O$11,$G$10:$J$10,0))))</f>
        <v>#N/A</v>
      </c>
      <c r="Q20" s="14"/>
      <c r="R20" s="33"/>
      <c r="S20" s="33"/>
      <c r="T20" s="33"/>
    </row>
    <row r="21" spans="1:20" ht="15.75" customHeight="1" x14ac:dyDescent="0.25">
      <c r="A21" s="11"/>
      <c r="B21" s="28">
        <v>8.75</v>
      </c>
      <c r="C21" s="515">
        <v>100.25</v>
      </c>
      <c r="D21" s="14"/>
      <c r="E21" s="631" t="s">
        <v>71</v>
      </c>
      <c r="F21" s="632">
        <v>0</v>
      </c>
      <c r="G21" s="44">
        <v>-0.25</v>
      </c>
      <c r="H21" s="44">
        <v>-0.25</v>
      </c>
      <c r="I21" s="44">
        <v>-0.25</v>
      </c>
      <c r="J21" s="45">
        <v>-0.25</v>
      </c>
      <c r="K21" s="31"/>
      <c r="L21" s="14"/>
      <c r="M21" s="627" t="s">
        <v>47</v>
      </c>
      <c r="N21" s="628"/>
      <c r="O21" s="32" t="s">
        <v>32</v>
      </c>
      <c r="P21" s="362" t="e">
        <f>IF(OR($O$11="", $O$21=""),"",INDEX($G$24:$J$28,MATCH($O$21,$E$24:$E$28,0),MATCH($O$11,$G$10:$J$10,0)))</f>
        <v>#N/A</v>
      </c>
      <c r="Q21" s="14"/>
      <c r="R21" s="33"/>
      <c r="T21" s="33"/>
    </row>
    <row r="22" spans="1:20" x14ac:dyDescent="0.25">
      <c r="A22" s="11"/>
      <c r="B22" s="28">
        <v>8.875</v>
      </c>
      <c r="C22" s="515">
        <v>100.5</v>
      </c>
      <c r="D22" s="14"/>
      <c r="E22" s="631" t="s">
        <v>73</v>
      </c>
      <c r="F22" s="632">
        <v>0</v>
      </c>
      <c r="G22" s="44">
        <v>-0.5</v>
      </c>
      <c r="H22" s="44">
        <v>-0.5</v>
      </c>
      <c r="I22" s="44">
        <v>-0.5</v>
      </c>
      <c r="J22" s="45" t="e">
        <v>#N/A</v>
      </c>
      <c r="K22" s="14"/>
      <c r="L22" s="14"/>
      <c r="M22" s="627" t="s">
        <v>48</v>
      </c>
      <c r="N22" s="628"/>
      <c r="O22" s="32" t="s">
        <v>32</v>
      </c>
      <c r="P22" s="362" t="e">
        <f>IF(OR($O$11="", $O$22=""),"",INDEX($G$20:$J$22,MATCH($O$22,$E$20:$E$22,0),MATCH($O$11,$G$10:$J$10,0)))</f>
        <v>#N/A</v>
      </c>
      <c r="Q22" s="14"/>
      <c r="T22" s="33"/>
    </row>
    <row r="23" spans="1:20" ht="15.75" customHeight="1" x14ac:dyDescent="0.25">
      <c r="A23" s="11"/>
      <c r="B23" s="28">
        <v>9</v>
      </c>
      <c r="C23" s="515">
        <v>100.75</v>
      </c>
      <c r="D23" s="14"/>
      <c r="E23" s="642" t="s">
        <v>79</v>
      </c>
      <c r="F23" s="643"/>
      <c r="G23" s="643"/>
      <c r="H23" s="643"/>
      <c r="I23" s="643"/>
      <c r="J23" s="644"/>
      <c r="K23" s="14"/>
      <c r="L23" s="14"/>
      <c r="M23" s="627" t="s">
        <v>50</v>
      </c>
      <c r="N23" s="628"/>
      <c r="O23" s="32" t="s">
        <v>214</v>
      </c>
      <c r="P23" s="362">
        <v>0</v>
      </c>
      <c r="Q23" s="14"/>
      <c r="S23" s="46"/>
      <c r="T23" s="33"/>
    </row>
    <row r="24" spans="1:20" ht="15.75" customHeight="1" x14ac:dyDescent="0.25">
      <c r="A24" s="11"/>
      <c r="B24" s="28">
        <v>9.125</v>
      </c>
      <c r="C24" s="515">
        <v>101</v>
      </c>
      <c r="D24" s="14"/>
      <c r="E24" s="631" t="s">
        <v>908</v>
      </c>
      <c r="F24" s="632">
        <v>0</v>
      </c>
      <c r="G24" s="44">
        <v>-0.25</v>
      </c>
      <c r="H24" s="44">
        <v>-0.25</v>
      </c>
      <c r="I24" s="44">
        <v>-0.25</v>
      </c>
      <c r="J24" s="45">
        <v>-0.25</v>
      </c>
      <c r="K24" s="14"/>
      <c r="L24" s="14"/>
      <c r="M24" s="627" t="s">
        <v>51</v>
      </c>
      <c r="N24" s="628"/>
      <c r="O24" s="32" t="s">
        <v>32</v>
      </c>
      <c r="P24" s="362" t="e">
        <f>IF(OR(O24="SFR",O24="PUD"),0,IF(OR($O$11="",$O$24=""),"",INDEX($G$30:$J$31,MATCH($O$24,$E$30:$E$31,0),MATCH($O$11,$G$10:$J$10,0))))</f>
        <v>#N/A</v>
      </c>
      <c r="Q24" s="14"/>
      <c r="S24" s="46"/>
      <c r="T24" s="33"/>
    </row>
    <row r="25" spans="1:20" ht="15.75" customHeight="1" x14ac:dyDescent="0.25">
      <c r="A25" s="11"/>
      <c r="B25" s="28">
        <v>9.25</v>
      </c>
      <c r="C25" s="515">
        <v>101.25</v>
      </c>
      <c r="D25" s="14"/>
      <c r="E25" s="631" t="s">
        <v>777</v>
      </c>
      <c r="F25" s="632">
        <v>0</v>
      </c>
      <c r="G25" s="44">
        <v>0</v>
      </c>
      <c r="H25" s="44">
        <v>0</v>
      </c>
      <c r="I25" s="44">
        <v>0</v>
      </c>
      <c r="J25" s="45">
        <v>0</v>
      </c>
      <c r="K25" s="14"/>
      <c r="L25" s="14"/>
      <c r="M25" s="627" t="s">
        <v>53</v>
      </c>
      <c r="N25" s="628"/>
      <c r="O25" s="32" t="s">
        <v>54</v>
      </c>
      <c r="P25" s="362">
        <v>0</v>
      </c>
      <c r="Q25" s="14"/>
      <c r="T25" s="33"/>
    </row>
    <row r="26" spans="1:20" x14ac:dyDescent="0.25">
      <c r="A26" s="11"/>
      <c r="B26" s="28">
        <v>9.375</v>
      </c>
      <c r="C26" s="515">
        <v>101.5</v>
      </c>
      <c r="D26" s="14"/>
      <c r="E26" s="631" t="s">
        <v>909</v>
      </c>
      <c r="F26" s="632">
        <v>0</v>
      </c>
      <c r="G26" s="44">
        <v>0</v>
      </c>
      <c r="H26" s="44">
        <v>0</v>
      </c>
      <c r="I26" s="44">
        <v>0</v>
      </c>
      <c r="J26" s="45">
        <v>0</v>
      </c>
      <c r="K26" s="14"/>
      <c r="L26" s="14"/>
      <c r="M26" s="627" t="s">
        <v>56</v>
      </c>
      <c r="N26" s="628"/>
      <c r="O26" s="32" t="s">
        <v>32</v>
      </c>
      <c r="P26" s="362">
        <f>IF(O26="Escrow Waived",NA(),0)</f>
        <v>0</v>
      </c>
      <c r="Q26" s="14"/>
      <c r="T26" s="33"/>
    </row>
    <row r="27" spans="1:20" ht="15.75" customHeight="1" x14ac:dyDescent="0.25">
      <c r="A27" s="11"/>
      <c r="B27" s="28">
        <v>9.5</v>
      </c>
      <c r="C27" s="515">
        <v>101.75</v>
      </c>
      <c r="D27" s="14"/>
      <c r="E27" s="631" t="s">
        <v>910</v>
      </c>
      <c r="F27" s="632">
        <v>0</v>
      </c>
      <c r="G27" s="44">
        <v>-0.25</v>
      </c>
      <c r="H27" s="44">
        <v>-0.25</v>
      </c>
      <c r="I27" s="44">
        <v>-0.25</v>
      </c>
      <c r="J27" s="45">
        <v>-0.25</v>
      </c>
      <c r="K27" s="14"/>
      <c r="L27" s="14"/>
      <c r="M27" s="627" t="s">
        <v>59</v>
      </c>
      <c r="N27" s="628"/>
      <c r="O27" s="32"/>
      <c r="P27" s="362">
        <v>0</v>
      </c>
      <c r="Q27" s="14"/>
      <c r="R27" s="3"/>
      <c r="T27" s="33"/>
    </row>
    <row r="28" spans="1:20" ht="15.75" customHeight="1" x14ac:dyDescent="0.25">
      <c r="A28" s="11"/>
      <c r="B28" s="28">
        <v>9.625</v>
      </c>
      <c r="C28" s="515">
        <v>102</v>
      </c>
      <c r="D28" s="14"/>
      <c r="E28" s="638" t="s">
        <v>87</v>
      </c>
      <c r="F28" s="639">
        <v>0</v>
      </c>
      <c r="G28" s="44">
        <v>-0.25</v>
      </c>
      <c r="H28" s="44">
        <v>-0.25</v>
      </c>
      <c r="I28" s="44">
        <v>-0.25</v>
      </c>
      <c r="J28" s="45">
        <v>-0.25</v>
      </c>
      <c r="K28" s="14"/>
      <c r="L28" s="14"/>
      <c r="M28" s="627" t="s">
        <v>61</v>
      </c>
      <c r="N28" s="628"/>
      <c r="O28" s="32"/>
      <c r="P28" s="362">
        <v>0</v>
      </c>
      <c r="Q28" s="14"/>
      <c r="R28" s="3"/>
      <c r="T28" s="33"/>
    </row>
    <row r="29" spans="1:20" x14ac:dyDescent="0.25">
      <c r="A29" s="11"/>
      <c r="B29" s="28">
        <v>9.75</v>
      </c>
      <c r="C29" s="515">
        <v>102.25</v>
      </c>
      <c r="D29" s="14"/>
      <c r="E29" s="642" t="s">
        <v>51</v>
      </c>
      <c r="F29" s="643"/>
      <c r="G29" s="643"/>
      <c r="H29" s="643"/>
      <c r="I29" s="643"/>
      <c r="J29" s="644"/>
      <c r="K29" s="14"/>
      <c r="L29" s="14"/>
      <c r="M29" s="627" t="s">
        <v>63</v>
      </c>
      <c r="N29" s="628"/>
      <c r="O29" s="32" t="s">
        <v>32</v>
      </c>
      <c r="P29" s="362" t="e">
        <f>IF(O29="All Other States",0,NA())</f>
        <v>#N/A</v>
      </c>
      <c r="Q29" s="14"/>
      <c r="R29" s="47"/>
      <c r="T29" s="33"/>
    </row>
    <row r="30" spans="1:20" x14ac:dyDescent="0.25">
      <c r="A30" s="11"/>
      <c r="B30" s="527"/>
      <c r="C30" s="528"/>
      <c r="D30" s="14"/>
      <c r="E30" s="640" t="s">
        <v>915</v>
      </c>
      <c r="F30" s="641">
        <v>0</v>
      </c>
      <c r="G30" s="44">
        <v>0</v>
      </c>
      <c r="H30" s="44">
        <v>0</v>
      </c>
      <c r="I30" s="44">
        <v>0</v>
      </c>
      <c r="J30" s="45">
        <v>0</v>
      </c>
      <c r="K30" s="14"/>
      <c r="L30" s="14"/>
      <c r="M30" s="627" t="s">
        <v>65</v>
      </c>
      <c r="N30" s="628"/>
      <c r="O30" s="48" t="s">
        <v>66</v>
      </c>
      <c r="P30" s="362">
        <f>IF(OR(O30="",O11=""),NA(),IF(OR(O30="15 Day",O30="30 Day"),0,VLOOKUP(O30,$B$42:$C$43,2,FALSE)))</f>
        <v>0</v>
      </c>
      <c r="Q30" s="14"/>
      <c r="T30" s="33"/>
    </row>
    <row r="31" spans="1:20" x14ac:dyDescent="0.25">
      <c r="A31" s="11"/>
      <c r="B31" s="527"/>
      <c r="C31" s="528"/>
      <c r="D31" s="14"/>
      <c r="E31" s="640" t="s">
        <v>911</v>
      </c>
      <c r="F31" s="641">
        <v>0</v>
      </c>
      <c r="G31" s="44">
        <v>-0.25</v>
      </c>
      <c r="H31" s="44">
        <v>-0.25</v>
      </c>
      <c r="I31" s="44">
        <v>-0.25</v>
      </c>
      <c r="J31" s="45">
        <v>-0.25</v>
      </c>
      <c r="K31" s="14"/>
      <c r="L31" s="14"/>
      <c r="M31" s="627" t="s">
        <v>67</v>
      </c>
      <c r="N31" s="628"/>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527"/>
      <c r="C32" s="528"/>
      <c r="D32" s="14"/>
      <c r="E32" s="642" t="s">
        <v>34</v>
      </c>
      <c r="F32" s="643"/>
      <c r="G32" s="643"/>
      <c r="H32" s="643"/>
      <c r="I32" s="643"/>
      <c r="J32" s="644"/>
      <c r="K32" s="14"/>
      <c r="L32" s="14"/>
      <c r="M32" s="627" t="s">
        <v>70</v>
      </c>
      <c r="N32" s="628"/>
      <c r="O32" s="48" t="s">
        <v>32</v>
      </c>
      <c r="P32" s="362">
        <v>0</v>
      </c>
      <c r="Q32" s="14"/>
      <c r="T32" s="33"/>
    </row>
    <row r="33" spans="1:20" ht="15.75" customHeight="1" x14ac:dyDescent="0.25">
      <c r="A33" s="11"/>
      <c r="B33" s="527"/>
      <c r="C33" s="528"/>
      <c r="D33" s="14"/>
      <c r="E33" s="640" t="s">
        <v>35</v>
      </c>
      <c r="F33" s="641">
        <v>0</v>
      </c>
      <c r="G33" s="44">
        <v>0</v>
      </c>
      <c r="H33" s="44">
        <v>0</v>
      </c>
      <c r="I33" s="44">
        <v>0</v>
      </c>
      <c r="J33" s="45">
        <v>0</v>
      </c>
      <c r="K33" s="14"/>
      <c r="L33" s="14"/>
      <c r="M33" s="627" t="s">
        <v>72</v>
      </c>
      <c r="N33" s="628"/>
      <c r="O33" s="49" t="s">
        <v>32</v>
      </c>
      <c r="P33" s="362">
        <f>'Feed(CoreFlex)'!$B$46</f>
        <v>0</v>
      </c>
      <c r="Q33" s="14"/>
      <c r="T33" s="33"/>
    </row>
    <row r="34" spans="1:20" x14ac:dyDescent="0.25">
      <c r="A34" s="11"/>
      <c r="B34" s="527"/>
      <c r="C34" s="528"/>
      <c r="D34" s="14"/>
      <c r="E34" s="640" t="s">
        <v>167</v>
      </c>
      <c r="F34" s="641">
        <v>0</v>
      </c>
      <c r="G34" s="44">
        <v>-0.5</v>
      </c>
      <c r="H34" s="44">
        <v>-0.5</v>
      </c>
      <c r="I34" s="44">
        <v>-0.5</v>
      </c>
      <c r="J34" s="45" t="e">
        <v>#N/A</v>
      </c>
      <c r="K34" s="14"/>
      <c r="L34" s="14"/>
      <c r="M34" s="627" t="s">
        <v>771</v>
      </c>
      <c r="N34" s="628"/>
      <c r="O34" s="48" t="s">
        <v>768</v>
      </c>
      <c r="P34" s="362">
        <f>IF(O34="Tier 1 States",J42,IF(O34="Tier 2 States",J44,IF(O34="Tier 3 States",J46,"0.000")))</f>
        <v>0</v>
      </c>
      <c r="Q34" s="14"/>
    </row>
    <row r="35" spans="1:20" ht="15.75" customHeight="1" x14ac:dyDescent="0.25">
      <c r="A35" s="11"/>
      <c r="B35" s="527"/>
      <c r="C35" s="528"/>
      <c r="D35" s="14"/>
      <c r="E35" s="642" t="s">
        <v>144</v>
      </c>
      <c r="F35" s="643"/>
      <c r="G35" s="643"/>
      <c r="H35" s="643"/>
      <c r="I35" s="643"/>
      <c r="J35" s="644"/>
      <c r="K35" s="14"/>
      <c r="L35" s="14"/>
      <c r="M35" s="627" t="s">
        <v>208</v>
      </c>
      <c r="N35" s="628"/>
      <c r="O35" s="49" t="str">
        <f>IF(P35=FALSE,"Not Applicable","Yes")</f>
        <v>Not Applicable</v>
      </c>
      <c r="P35" s="362" t="b">
        <f>'Feed(CoreFlex)'!$A$20</f>
        <v>0</v>
      </c>
      <c r="Q35" s="14"/>
    </row>
    <row r="36" spans="1:20" x14ac:dyDescent="0.25">
      <c r="A36" s="11"/>
      <c r="B36" s="527"/>
      <c r="C36" s="528"/>
      <c r="D36" s="14"/>
      <c r="E36" s="631" t="s">
        <v>906</v>
      </c>
      <c r="F36" s="632">
        <v>0</v>
      </c>
      <c r="G36" s="44">
        <v>-0.25</v>
      </c>
      <c r="H36" s="44">
        <v>-0.25</v>
      </c>
      <c r="I36" s="44">
        <v>-0.25</v>
      </c>
      <c r="J36" s="45">
        <v>-0.25</v>
      </c>
      <c r="K36" s="14"/>
      <c r="L36" s="14"/>
      <c r="M36" s="691" t="s">
        <v>78</v>
      </c>
      <c r="N36" s="692"/>
      <c r="O36" s="693"/>
      <c r="P36" s="469" t="e">
        <f>SUM($P$12:$P$35)</f>
        <v>#N/A</v>
      </c>
      <c r="Q36" s="14"/>
    </row>
    <row r="37" spans="1:20" ht="15.75" customHeight="1" x14ac:dyDescent="0.25">
      <c r="A37" s="11"/>
      <c r="B37" s="527"/>
      <c r="C37" s="528"/>
      <c r="D37" s="14"/>
      <c r="E37" s="790" t="s">
        <v>907</v>
      </c>
      <c r="F37" s="791">
        <v>0</v>
      </c>
      <c r="G37" s="91">
        <v>-0.25</v>
      </c>
      <c r="H37" s="91">
        <v>-0.25</v>
      </c>
      <c r="I37" s="91">
        <v>-0.25</v>
      </c>
      <c r="J37" s="92">
        <v>-0.25</v>
      </c>
      <c r="K37" s="50"/>
      <c r="L37" s="14"/>
      <c r="M37" s="691" t="s">
        <v>80</v>
      </c>
      <c r="N37" s="692"/>
      <c r="O37" s="693"/>
      <c r="P37" s="469" t="str">
        <f>IFERROR(INDEX(C10:C37,MATCH(O10,B10:B37,0),MATCH(O17,C10:C10,0)),"#N/A")</f>
        <v>#N/A</v>
      </c>
      <c r="Q37" s="14"/>
      <c r="S37" s="47"/>
    </row>
    <row r="38" spans="1:20" ht="15.75" customHeight="1" x14ac:dyDescent="0.25">
      <c r="A38" s="11"/>
      <c r="B38" s="735"/>
      <c r="C38" s="792"/>
      <c r="D38" s="14"/>
      <c r="E38" s="793"/>
      <c r="F38" s="794"/>
      <c r="G38" s="794"/>
      <c r="H38" s="794"/>
      <c r="I38" s="794"/>
      <c r="J38" s="795"/>
      <c r="K38" s="14"/>
      <c r="L38" s="14"/>
      <c r="M38" s="691" t="s">
        <v>82</v>
      </c>
      <c r="N38" s="692"/>
      <c r="O38" s="693"/>
      <c r="P38" s="469" t="e">
        <f>IFERROR(P37+P36,NA())</f>
        <v>#N/A</v>
      </c>
      <c r="Q38" s="14"/>
    </row>
    <row r="39" spans="1:20" x14ac:dyDescent="0.25">
      <c r="A39" s="11"/>
      <c r="B39" s="737"/>
      <c r="C39" s="796"/>
      <c r="D39" s="14"/>
      <c r="E39" s="737"/>
      <c r="F39" s="738"/>
      <c r="G39" s="738"/>
      <c r="H39" s="738"/>
      <c r="I39" s="738"/>
      <c r="J39" s="796"/>
      <c r="K39" s="14"/>
      <c r="L39" s="14"/>
      <c r="M39" s="691" t="s">
        <v>84</v>
      </c>
      <c r="N39" s="692"/>
      <c r="O39" s="693"/>
      <c r="P39" s="469">
        <f>IF(OR('Feed(CoreFlex)'!$E$126=0,ISERROR('Feed(CoreFlex)'!$E$126)),NA(),'Feed(CoreFlex)'!$E$126)</f>
        <v>99.5</v>
      </c>
      <c r="Q39" s="14"/>
    </row>
    <row r="40" spans="1:20" ht="14.25" customHeight="1" x14ac:dyDescent="0.25">
      <c r="A40" s="11"/>
      <c r="B40" s="518"/>
      <c r="C40" s="519"/>
      <c r="D40" s="14"/>
      <c r="E40" s="806" t="s">
        <v>897</v>
      </c>
      <c r="F40" s="761"/>
      <c r="G40" s="761"/>
      <c r="H40" s="761"/>
      <c r="I40" s="761"/>
      <c r="J40" s="762"/>
      <c r="K40" s="14"/>
      <c r="L40" s="14"/>
      <c r="M40" s="694" t="s">
        <v>86</v>
      </c>
      <c r="N40" s="695"/>
      <c r="O40" s="696"/>
      <c r="P40" s="51" t="e">
        <f>IF(OR($P$36="#NA",$P$37="#NA"),NA(),IF($O$10&lt;&gt;'Feed(CoreFlex)'!$K$113,"Max Price "&amp;B46&amp;" @ "&amp;O10,IF($P$38&gt;$P$39,$P$39,$P$38)))</f>
        <v>#N/A</v>
      </c>
      <c r="Q40" s="14"/>
    </row>
    <row r="41" spans="1:20" ht="14.25" customHeight="1" thickBot="1" x14ac:dyDescent="0.3">
      <c r="A41" s="11"/>
      <c r="B41" s="41" t="s">
        <v>65</v>
      </c>
      <c r="C41" s="43" t="s">
        <v>102</v>
      </c>
      <c r="D41" s="14"/>
      <c r="E41" s="635" t="s">
        <v>898</v>
      </c>
      <c r="F41" s="636"/>
      <c r="G41" s="636"/>
      <c r="H41" s="636"/>
      <c r="I41" s="636"/>
      <c r="J41" s="637"/>
      <c r="K41" s="14"/>
      <c r="L41" s="14"/>
      <c r="M41" s="697" t="str" cm="1">
        <f t="array" ref="M41">IF(OR($O$11:$O$25="Choose a Selection"),"",CONCATENATE('Feed(CoreFlex)'!$I$113," ",'Feed(CoreFlex)'!$K$113,"%"&amp;" @ "&amp;'Feed(CoreFlex)'!$L$113))</f>
        <v/>
      </c>
      <c r="N41" s="698"/>
      <c r="O41" s="698"/>
      <c r="P41" s="699"/>
      <c r="Q41" s="14"/>
    </row>
    <row r="42" spans="1:20" ht="13.5" customHeight="1" thickBot="1" x14ac:dyDescent="0.3">
      <c r="A42" s="11"/>
      <c r="B42" s="61" t="s">
        <v>107</v>
      </c>
      <c r="C42" s="62">
        <v>-0.25</v>
      </c>
      <c r="D42" s="14"/>
      <c r="E42" s="722" t="s">
        <v>768</v>
      </c>
      <c r="F42" s="798" t="s">
        <v>939</v>
      </c>
      <c r="G42" s="799"/>
      <c r="H42" s="799"/>
      <c r="I42" s="800"/>
      <c r="J42" s="804">
        <v>0</v>
      </c>
      <c r="K42" s="14"/>
      <c r="L42" s="14"/>
      <c r="M42" s="633" t="s">
        <v>761</v>
      </c>
      <c r="N42" s="667"/>
      <c r="O42" s="667"/>
      <c r="P42" s="634"/>
      <c r="Q42" s="14"/>
    </row>
    <row r="43" spans="1:20" ht="13.5" customHeight="1" thickBot="1" x14ac:dyDescent="0.3">
      <c r="A43" s="11"/>
      <c r="B43" s="61" t="s">
        <v>112</v>
      </c>
      <c r="C43" s="62">
        <v>-0.5</v>
      </c>
      <c r="D43" s="14"/>
      <c r="E43" s="722"/>
      <c r="F43" s="801"/>
      <c r="G43" s="802"/>
      <c r="H43" s="802"/>
      <c r="I43" s="803"/>
      <c r="J43" s="805"/>
      <c r="K43" s="52"/>
      <c r="L43" s="14"/>
      <c r="M43" s="633" t="s">
        <v>762</v>
      </c>
      <c r="N43" s="634"/>
      <c r="O43" s="668">
        <v>500000</v>
      </c>
      <c r="P43" s="669"/>
      <c r="Q43" s="14"/>
    </row>
    <row r="44" spans="1:20" ht="13.5" customHeight="1" thickBot="1" x14ac:dyDescent="0.3">
      <c r="A44" s="11"/>
      <c r="B44" s="739"/>
      <c r="C44" s="797"/>
      <c r="D44" s="14"/>
      <c r="E44" s="722" t="s">
        <v>769</v>
      </c>
      <c r="F44" s="798" t="s">
        <v>780</v>
      </c>
      <c r="G44" s="799"/>
      <c r="H44" s="799"/>
      <c r="I44" s="800"/>
      <c r="J44" s="804">
        <v>0.15</v>
      </c>
      <c r="K44" s="14"/>
      <c r="L44" s="14"/>
      <c r="M44" s="633" t="s">
        <v>763</v>
      </c>
      <c r="N44" s="634"/>
      <c r="O44" s="483">
        <v>2.25</v>
      </c>
      <c r="P44" s="484">
        <f>O44/100*O43</f>
        <v>11250</v>
      </c>
      <c r="Q44" s="14"/>
    </row>
    <row r="45" spans="1:20" ht="13.5" customHeight="1" thickBot="1" x14ac:dyDescent="0.3">
      <c r="A45" s="11"/>
      <c r="B45" s="739" t="s">
        <v>104</v>
      </c>
      <c r="C45" s="797"/>
      <c r="D45" s="14"/>
      <c r="E45" s="722"/>
      <c r="F45" s="801"/>
      <c r="G45" s="802"/>
      <c r="H45" s="802"/>
      <c r="I45" s="803"/>
      <c r="J45" s="805"/>
      <c r="K45" s="14"/>
      <c r="L45" s="14"/>
      <c r="M45" s="633" t="s">
        <v>764</v>
      </c>
      <c r="N45" s="634"/>
      <c r="O45" s="482"/>
      <c r="P45" s="485">
        <f>O45/O43*100</f>
        <v>0</v>
      </c>
      <c r="Q45" s="14"/>
    </row>
    <row r="46" spans="1:20" ht="13.5" customHeight="1" thickBot="1" x14ac:dyDescent="0.3">
      <c r="A46" s="11"/>
      <c r="B46" s="807">
        <v>99.5</v>
      </c>
      <c r="C46" s="808"/>
      <c r="D46" s="14"/>
      <c r="E46" s="722" t="s">
        <v>770</v>
      </c>
      <c r="F46" s="809" t="s">
        <v>940</v>
      </c>
      <c r="G46" s="810"/>
      <c r="H46" s="810"/>
      <c r="I46" s="811"/>
      <c r="J46" s="804">
        <v>0.25</v>
      </c>
      <c r="K46" s="14"/>
      <c r="L46" s="14"/>
      <c r="M46" s="633" t="s">
        <v>765</v>
      </c>
      <c r="N46" s="634"/>
      <c r="O46" s="617">
        <f>O44+P45</f>
        <v>2.25</v>
      </c>
      <c r="P46" s="618"/>
      <c r="Q46" s="14"/>
    </row>
    <row r="47" spans="1:20" ht="13.5" customHeight="1" thickBot="1" x14ac:dyDescent="0.3">
      <c r="A47" s="11"/>
      <c r="B47" s="739" t="s">
        <v>105</v>
      </c>
      <c r="C47" s="797"/>
      <c r="D47" s="14"/>
      <c r="E47" s="722"/>
      <c r="F47" s="812"/>
      <c r="G47" s="813"/>
      <c r="H47" s="813"/>
      <c r="I47" s="814"/>
      <c r="J47" s="805"/>
      <c r="K47" s="14"/>
      <c r="L47" s="14"/>
      <c r="M47" s="700" t="s">
        <v>766</v>
      </c>
      <c r="N47" s="701"/>
      <c r="O47" s="702" t="e">
        <f>P40-O46</f>
        <v>#N/A</v>
      </c>
      <c r="P47" s="703"/>
      <c r="Q47" s="14"/>
    </row>
    <row r="48" spans="1:20" x14ac:dyDescent="0.25">
      <c r="A48" s="11"/>
      <c r="B48" s="818" t="s">
        <v>899</v>
      </c>
      <c r="C48" s="819"/>
      <c r="D48" s="14"/>
      <c r="E48" s="635" t="s">
        <v>116</v>
      </c>
      <c r="F48" s="636"/>
      <c r="G48" s="636"/>
      <c r="H48" s="636"/>
      <c r="I48" s="636"/>
      <c r="J48" s="637"/>
      <c r="K48" s="14"/>
      <c r="L48" s="14"/>
      <c r="M48" s="820" t="s">
        <v>941</v>
      </c>
      <c r="N48" s="821"/>
      <c r="O48" s="821"/>
      <c r="P48" s="822"/>
      <c r="Q48" s="14"/>
    </row>
    <row r="49" spans="1:21" ht="15.75" customHeight="1" x14ac:dyDescent="0.25">
      <c r="A49" s="11"/>
      <c r="B49" s="713" t="s">
        <v>154</v>
      </c>
      <c r="C49" s="826"/>
      <c r="D49" s="14"/>
      <c r="E49" s="827" t="s">
        <v>121</v>
      </c>
      <c r="F49" s="828"/>
      <c r="G49" s="828"/>
      <c r="H49" s="828"/>
      <c r="I49" s="828"/>
      <c r="J49" s="829"/>
      <c r="K49" s="14"/>
      <c r="L49" s="14"/>
      <c r="M49" s="823"/>
      <c r="N49" s="824"/>
      <c r="O49" s="824"/>
      <c r="P49" s="825"/>
      <c r="Q49" s="14"/>
    </row>
    <row r="50" spans="1:21" x14ac:dyDescent="0.25">
      <c r="A50" s="11"/>
      <c r="B50" s="833" t="s">
        <v>157</v>
      </c>
      <c r="C50" s="834"/>
      <c r="D50" s="14"/>
      <c r="E50" s="827"/>
      <c r="F50" s="828"/>
      <c r="G50" s="828"/>
      <c r="H50" s="828"/>
      <c r="I50" s="828"/>
      <c r="J50" s="829"/>
      <c r="K50" s="14"/>
      <c r="L50" s="14"/>
      <c r="M50" s="835"/>
      <c r="N50" s="836"/>
      <c r="O50" s="836"/>
      <c r="P50" s="837"/>
      <c r="Q50" s="53"/>
    </row>
    <row r="51" spans="1:21" ht="13.5" customHeight="1" x14ac:dyDescent="0.25">
      <c r="A51" s="14"/>
      <c r="B51" s="95"/>
      <c r="C51" s="94"/>
      <c r="D51" s="54"/>
      <c r="E51" s="827"/>
      <c r="F51" s="828"/>
      <c r="G51" s="828"/>
      <c r="H51" s="828"/>
      <c r="I51" s="828"/>
      <c r="J51" s="829"/>
      <c r="K51" s="14"/>
      <c r="L51" s="54"/>
      <c r="M51" s="838" t="s">
        <v>942</v>
      </c>
      <c r="N51" s="839"/>
      <c r="O51" s="839"/>
      <c r="P51" s="840"/>
      <c r="Q51" s="56"/>
    </row>
    <row r="52" spans="1:21" x14ac:dyDescent="0.25">
      <c r="A52" s="14"/>
      <c r="B52" s="95"/>
      <c r="C52" s="94"/>
      <c r="D52" s="14"/>
      <c r="E52" s="827"/>
      <c r="F52" s="828"/>
      <c r="G52" s="828"/>
      <c r="H52" s="828"/>
      <c r="I52" s="828"/>
      <c r="J52" s="829"/>
      <c r="K52" s="14"/>
      <c r="L52" s="14"/>
      <c r="M52" s="835"/>
      <c r="N52" s="836"/>
      <c r="O52" s="836"/>
      <c r="P52" s="837"/>
      <c r="Q52" s="56"/>
    </row>
    <row r="53" spans="1:21" ht="15.75" customHeight="1" x14ac:dyDescent="0.25">
      <c r="A53" s="14"/>
      <c r="B53" s="95"/>
      <c r="C53" s="94"/>
      <c r="D53" s="14"/>
      <c r="E53" s="827"/>
      <c r="F53" s="828"/>
      <c r="G53" s="828"/>
      <c r="H53" s="828"/>
      <c r="I53" s="828"/>
      <c r="J53" s="829"/>
      <c r="K53" s="14"/>
      <c r="L53" s="14"/>
      <c r="M53" s="529"/>
      <c r="N53" s="530"/>
      <c r="O53" s="530"/>
      <c r="P53" s="531"/>
      <c r="Q53" s="56"/>
      <c r="R53" s="532"/>
      <c r="S53" s="532"/>
      <c r="T53" s="532"/>
      <c r="U53" s="532"/>
    </row>
    <row r="54" spans="1:21" ht="15" customHeight="1" x14ac:dyDescent="0.25">
      <c r="A54" s="14"/>
      <c r="B54" s="95"/>
      <c r="C54" s="94"/>
      <c r="D54" s="60"/>
      <c r="E54" s="827"/>
      <c r="F54" s="828"/>
      <c r="G54" s="828"/>
      <c r="H54" s="828"/>
      <c r="I54" s="828"/>
      <c r="J54" s="829"/>
      <c r="K54" s="14"/>
      <c r="L54" s="14"/>
      <c r="M54" s="95"/>
      <c r="N54" s="93"/>
      <c r="O54" s="93"/>
      <c r="P54" s="94"/>
      <c r="Q54" s="56"/>
    </row>
    <row r="55" spans="1:21" ht="15.75" thickBot="1" x14ac:dyDescent="0.3">
      <c r="A55" s="14"/>
      <c r="B55" s="95"/>
      <c r="C55" s="94"/>
      <c r="D55" s="14"/>
      <c r="E55" s="830"/>
      <c r="F55" s="831"/>
      <c r="G55" s="831"/>
      <c r="H55" s="831"/>
      <c r="I55" s="831"/>
      <c r="J55" s="832"/>
      <c r="K55" s="14"/>
      <c r="L55" s="14"/>
      <c r="M55" s="529"/>
      <c r="N55" s="530"/>
      <c r="O55" s="530"/>
      <c r="P55" s="531"/>
      <c r="Q55" s="56"/>
    </row>
    <row r="56" spans="1:21" x14ac:dyDescent="0.25">
      <c r="A56" s="14"/>
      <c r="B56" s="95"/>
      <c r="C56" s="94"/>
      <c r="D56" s="64"/>
      <c r="E56" s="761"/>
      <c r="F56" s="761"/>
      <c r="G56" s="761"/>
      <c r="H56" s="761"/>
      <c r="I56" s="530"/>
      <c r="J56" s="530"/>
      <c r="K56" s="14"/>
      <c r="L56" s="14"/>
      <c r="M56" s="806"/>
      <c r="N56" s="761"/>
      <c r="O56" s="761"/>
      <c r="P56" s="762"/>
      <c r="Q56" s="56"/>
    </row>
    <row r="57" spans="1:21" ht="15.75" thickBot="1" x14ac:dyDescent="0.3">
      <c r="A57" s="14"/>
      <c r="B57" s="263"/>
      <c r="C57" s="97"/>
      <c r="D57" s="64"/>
      <c r="E57" s="761"/>
      <c r="F57" s="761"/>
      <c r="G57" s="761"/>
      <c r="H57" s="761"/>
      <c r="I57" s="530"/>
      <c r="J57" s="530"/>
      <c r="K57" s="14"/>
      <c r="L57" s="14"/>
      <c r="M57" s="815"/>
      <c r="N57" s="816"/>
      <c r="O57" s="816"/>
      <c r="P57" s="817"/>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TxPJ9bIRJyMeWStgUCEiLNaO8gOZewFtSYHgTE68/ihxREMojfVpeuixsUJuRM2niQ9EpjFkWdygUdhcyKRrPA==" saltValue="kJN1Uap5IldyTwJZTduPJQ=="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38:C38"/>
    <mergeCell ref="E38:F38"/>
    <mergeCell ref="G38:H38"/>
    <mergeCell ref="I38:J38"/>
    <mergeCell ref="M38:O38"/>
    <mergeCell ref="B39:C39"/>
    <mergeCell ref="E39:F39"/>
    <mergeCell ref="G39:H39"/>
    <mergeCell ref="I39:J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2:F12"/>
    <mergeCell ref="M12:N12"/>
    <mergeCell ref="B6:C7"/>
    <mergeCell ref="E6:J7"/>
    <mergeCell ref="M6:P7"/>
    <mergeCell ref="B8:C8"/>
    <mergeCell ref="B9:C9"/>
    <mergeCell ref="E9:J9"/>
    <mergeCell ref="E10:F10"/>
    <mergeCell ref="M10:N10"/>
    <mergeCell ref="E11:F11"/>
    <mergeCell ref="M11:N11"/>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29">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7" t="s">
        <v>204</v>
      </c>
      <c r="P1" s="497"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8" t="s">
        <v>32</v>
      </c>
      <c r="P2" s="498"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8" t="s">
        <v>216</v>
      </c>
      <c r="P3" s="498"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8"/>
      <c r="P4" s="498"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777</v>
      </c>
      <c r="H5" s="172" t="s">
        <v>113</v>
      </c>
      <c r="I5" s="172"/>
      <c r="J5" t="s">
        <v>76</v>
      </c>
      <c r="K5" s="172" t="s">
        <v>101</v>
      </c>
      <c r="L5" s="172" t="s">
        <v>230</v>
      </c>
      <c r="M5" s="172" t="s">
        <v>231</v>
      </c>
      <c r="N5" s="172" t="s">
        <v>107</v>
      </c>
      <c r="O5" s="498"/>
      <c r="P5" s="498" t="s">
        <v>232</v>
      </c>
      <c r="Q5" s="172" t="s">
        <v>233</v>
      </c>
      <c r="R5" s="181" t="s">
        <v>234</v>
      </c>
      <c r="S5" s="179"/>
      <c r="T5" s="172" t="s">
        <v>895</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778</v>
      </c>
      <c r="H6" s="172" t="s">
        <v>117</v>
      </c>
      <c r="I6" s="172"/>
      <c r="J6" t="s">
        <v>73</v>
      </c>
      <c r="K6" s="172" t="s">
        <v>238</v>
      </c>
      <c r="L6" s="172" t="s">
        <v>239</v>
      </c>
      <c r="M6" s="172" t="s">
        <v>240</v>
      </c>
      <c r="N6" s="172" t="s">
        <v>112</v>
      </c>
      <c r="O6" s="498"/>
      <c r="P6" s="498"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8"/>
      <c r="P7" s="498"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8"/>
      <c r="P8" s="498"/>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8"/>
      <c r="P9" s="498"/>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821</v>
      </c>
      <c r="L10" s="172"/>
      <c r="M10" s="172" t="s">
        <v>145</v>
      </c>
      <c r="N10" s="172"/>
      <c r="O10" s="498"/>
      <c r="P10" s="498"/>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8"/>
      <c r="P11" s="498"/>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8"/>
      <c r="P12" s="498"/>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8"/>
      <c r="P13" s="498"/>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9"/>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9"/>
      <c r="P35" s="499"/>
      <c r="Q35"/>
      <c r="R35"/>
      <c r="S35"/>
      <c r="T35"/>
      <c r="U35"/>
      <c r="V35"/>
      <c r="W35"/>
      <c r="X35"/>
      <c r="Y35"/>
      <c r="Z35"/>
      <c r="AA35"/>
      <c r="AB35"/>
      <c r="AC35" s="174" t="s">
        <v>228</v>
      </c>
    </row>
    <row r="36" spans="1:42" x14ac:dyDescent="0.25">
      <c r="L36"/>
      <c r="O36" s="499"/>
      <c r="P36" s="499"/>
      <c r="Q36"/>
      <c r="R36"/>
      <c r="S36"/>
      <c r="T36"/>
      <c r="U36" s="192" t="s">
        <v>268</v>
      </c>
      <c r="V36"/>
      <c r="W36"/>
      <c r="X36"/>
      <c r="Y36" s="192" t="s">
        <v>269</v>
      </c>
      <c r="Z36"/>
      <c r="AA36"/>
      <c r="AB36"/>
    </row>
    <row r="37" spans="1:42" x14ac:dyDescent="0.25">
      <c r="F37" s="192" t="s">
        <v>270</v>
      </c>
      <c r="L37" s="192" t="s">
        <v>271</v>
      </c>
      <c r="O37" s="499"/>
      <c r="P37" s="499"/>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9"/>
      <c r="P38" s="499"/>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NA(), "")</f>
        <v/>
      </c>
      <c r="AI38" t="s">
        <v>288</v>
      </c>
      <c r="AJ38"/>
      <c r="AK38" t="s">
        <v>289</v>
      </c>
      <c r="AL38" s="361"/>
      <c r="AM38" t="s">
        <v>290</v>
      </c>
      <c r="AN38"/>
      <c r="AO38" s="174" t="s">
        <v>228</v>
      </c>
      <c r="AP38" s="174"/>
    </row>
    <row r="39" spans="1:42" x14ac:dyDescent="0.25">
      <c r="A39" s="183" t="s">
        <v>158</v>
      </c>
      <c r="B39" s="575" t="str">
        <f>IF(AND(NonQM!U19='Feed(WS)'!P6,NonQM!U11=B11),NA(),"")</f>
        <v/>
      </c>
      <c r="C39" s="172" t="s">
        <v>291</v>
      </c>
      <c r="D39" s="172"/>
      <c r="F39" s="162" t="s">
        <v>292</v>
      </c>
      <c r="G39" s="223" t="str" cm="1">
        <f t="array" ref="G39">IF(AND(OR(NonQM!U14=C15:C16),NonQM!U13=C3),NA(),"")</f>
        <v/>
      </c>
      <c r="H39" s="162" t="s">
        <v>293</v>
      </c>
      <c r="L39" s="162" t="s">
        <v>281</v>
      </c>
      <c r="M39" s="223"/>
      <c r="N39" s="162" t="s">
        <v>294</v>
      </c>
      <c r="O39" s="499"/>
      <c r="P39" s="499"/>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75"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75"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8"/>
      <c r="P41" s="498"/>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75"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8"/>
      <c r="P42" s="498"/>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75"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8"/>
      <c r="P43" s="498"/>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76"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8"/>
      <c r="P44" s="498"/>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76"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8"/>
      <c r="P45" s="498"/>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75"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8"/>
      <c r="P46" s="498"/>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76" t="str">
        <f>IF(NonQM!U21=G13,NA(),"")</f>
        <v/>
      </c>
      <c r="D47" s="172"/>
      <c r="F47" s="162" t="s">
        <v>281</v>
      </c>
      <c r="G47" s="223" t="str" cm="1">
        <f t="array" ref="G47">IF(AND(OR(NonQM!U24=K7),OR(NonQM!U11=B9:B11)),NA(),"")</f>
        <v/>
      </c>
      <c r="H47" s="162" t="s">
        <v>349</v>
      </c>
      <c r="I47" s="172"/>
      <c r="J47" s="172"/>
      <c r="K47" s="172"/>
      <c r="L47" s="162" t="s">
        <v>350</v>
      </c>
      <c r="M47" s="223"/>
      <c r="N47" s="162" t="s">
        <v>351</v>
      </c>
      <c r="O47" s="498"/>
      <c r="P47" s="498"/>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75"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8"/>
      <c r="P48" s="498"/>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09" t="s">
        <v>365</v>
      </c>
      <c r="C49" s="172" t="s">
        <v>366</v>
      </c>
      <c r="D49" s="172"/>
      <c r="F49" s="162" t="s">
        <v>367</v>
      </c>
      <c r="G49" s="223" t="str" cm="1">
        <f t="array" ref="G49">IF(AND(NonQM!U13=C3,OR(NonQM!U11=B9:B11),OR(NonQM!U22=J6:J7)),NA(),"")</f>
        <v/>
      </c>
      <c r="H49" s="162" t="s">
        <v>368</v>
      </c>
      <c r="I49" s="172"/>
      <c r="J49" s="172"/>
      <c r="L49" s="162" t="s">
        <v>369</v>
      </c>
      <c r="M49" s="223"/>
      <c r="N49" s="162" t="s">
        <v>370</v>
      </c>
      <c r="O49" s="498"/>
      <c r="P49" s="498"/>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75"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8"/>
      <c r="P50" s="498"/>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09"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8"/>
      <c r="P51" s="498"/>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75"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8"/>
      <c r="P52" s="498"/>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75"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09"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76"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76"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599" t="s">
        <v>64</v>
      </c>
      <c r="AH56" s="600"/>
      <c r="AI56" s="600"/>
      <c r="AJ56"/>
      <c r="AK56"/>
      <c r="AL56"/>
      <c r="AM56"/>
      <c r="AN56"/>
      <c r="AO56" s="174" t="s">
        <v>228</v>
      </c>
      <c r="AP56" s="174"/>
    </row>
    <row r="57" spans="1:42" x14ac:dyDescent="0.25">
      <c r="A57" s="196" t="s">
        <v>443</v>
      </c>
      <c r="B57" s="576"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76"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9"/>
      <c r="P58" s="499"/>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75"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75"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75"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76"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76"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76"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77"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599" t="s">
        <v>522</v>
      </c>
      <c r="AH65" s="600"/>
      <c r="AI65" s="600"/>
      <c r="AJ65"/>
      <c r="AK65"/>
      <c r="AL65"/>
      <c r="AM65"/>
      <c r="AN65"/>
      <c r="AO65" s="174"/>
      <c r="AP65" s="174"/>
    </row>
    <row r="66" spans="1:42" x14ac:dyDescent="0.25">
      <c r="A66" s="171" t="s">
        <v>523</v>
      </c>
      <c r="B66" s="576"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78">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820</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5" t="s">
        <v>619</v>
      </c>
      <c r="C80" s="856"/>
      <c r="D80" s="856"/>
      <c r="E80" s="856"/>
      <c r="F80"/>
      <c r="I80" s="847" t="s">
        <v>619</v>
      </c>
      <c r="J80" s="848"/>
      <c r="K80" s="848"/>
      <c r="L80" s="849"/>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5.99</v>
      </c>
      <c r="C82" s="210">
        <f>NonQM!C11</f>
        <v>97.313000000000002</v>
      </c>
      <c r="D82" s="210">
        <f>NonQM!D11</f>
        <v>97.013000000000005</v>
      </c>
      <c r="E82" s="211"/>
      <c r="F82" s="211"/>
      <c r="G82" s="212" t="e">
        <f>SUM(NonQM!V12:V35)+B67</f>
        <v>#N/A</v>
      </c>
      <c r="H82" s="213">
        <v>1</v>
      </c>
      <c r="I82" s="214">
        <f t="shared" ref="I82:I124" si="0">B82</f>
        <v>5.99</v>
      </c>
      <c r="J82" s="215" t="e">
        <f t="shared" ref="J82:J124" si="1">C82+$G$82</f>
        <v>#N/A</v>
      </c>
      <c r="K82" s="215" t="e">
        <f t="shared" ref="K82:K124" si="2">D82+$G$82</f>
        <v>#N/A</v>
      </c>
      <c r="L82" s="216"/>
      <c r="M82" s="216"/>
      <c r="N82" s="212" cm="1">
        <f t="array" ref="N82:N124">I82:I124</f>
        <v>5.99</v>
      </c>
      <c r="Q82" s="594"/>
      <c r="R82" s="594"/>
      <c r="S82" s="595"/>
      <c r="AH82" s="174"/>
      <c r="AJ82" s="174"/>
      <c r="AK82" s="174"/>
      <c r="AL82" s="174"/>
      <c r="AM82" s="174"/>
      <c r="AN82" s="174"/>
      <c r="AO82" s="174"/>
      <c r="AP82" s="174"/>
    </row>
    <row r="83" spans="2:48" x14ac:dyDescent="0.25">
      <c r="B83" s="217">
        <f>NonQM!B12</f>
        <v>6.125</v>
      </c>
      <c r="C83" s="218">
        <f>NonQM!C12</f>
        <v>97.937500000000014</v>
      </c>
      <c r="D83" s="218">
        <f>NonQM!D12</f>
        <v>97.637500000000031</v>
      </c>
      <c r="E83" s="219"/>
      <c r="F83" s="219"/>
      <c r="G83" s="162" t="s">
        <v>626</v>
      </c>
      <c r="H83" s="213">
        <v>2</v>
      </c>
      <c r="I83" s="220">
        <f t="shared" si="0"/>
        <v>6.125</v>
      </c>
      <c r="J83" s="221" t="e">
        <f t="shared" si="1"/>
        <v>#N/A</v>
      </c>
      <c r="K83" s="221" t="e">
        <f t="shared" si="2"/>
        <v>#N/A</v>
      </c>
      <c r="L83" s="222"/>
      <c r="M83" s="222"/>
      <c r="N83" s="212">
        <v>6.125</v>
      </c>
      <c r="R83" s="223"/>
      <c r="S83" s="172"/>
      <c r="AH83" s="174"/>
      <c r="AJ83" s="174"/>
      <c r="AK83" s="174"/>
      <c r="AL83" s="174"/>
      <c r="AM83" s="174"/>
      <c r="AN83" s="174"/>
      <c r="AO83" s="174"/>
      <c r="AP83" s="174"/>
    </row>
    <row r="84" spans="2:48" x14ac:dyDescent="0.25">
      <c r="B84" s="217">
        <f>NonQM!B13</f>
        <v>6.25</v>
      </c>
      <c r="C84" s="218">
        <f>NonQM!C13</f>
        <v>98.475500000000011</v>
      </c>
      <c r="D84" s="218">
        <f>NonQM!D13</f>
        <v>98.175500000000028</v>
      </c>
      <c r="E84" s="219"/>
      <c r="F84" s="219"/>
      <c r="G84" s="162" t="s">
        <v>627</v>
      </c>
      <c r="H84" s="213">
        <v>3</v>
      </c>
      <c r="I84" s="220">
        <f t="shared" si="0"/>
        <v>6.25</v>
      </c>
      <c r="J84" s="221" t="e">
        <f t="shared" si="1"/>
        <v>#N/A</v>
      </c>
      <c r="K84" s="221" t="e">
        <f t="shared" si="2"/>
        <v>#N/A</v>
      </c>
      <c r="L84" s="222"/>
      <c r="M84" s="222"/>
      <c r="N84" s="212">
        <v>6.25</v>
      </c>
      <c r="R84" s="223"/>
      <c r="S84" s="172"/>
      <c r="AG84" s="597" t="s">
        <v>652</v>
      </c>
      <c r="AH84" s="596"/>
      <c r="AI84" s="598"/>
      <c r="AJ84" s="174"/>
      <c r="AK84" s="174"/>
      <c r="AL84" s="174"/>
      <c r="AM84" s="174"/>
      <c r="AN84" s="174"/>
      <c r="AO84" s="174"/>
      <c r="AP84" s="174"/>
    </row>
    <row r="85" spans="2:48" ht="15.75" x14ac:dyDescent="0.25">
      <c r="B85" s="217">
        <f>NonQM!B14</f>
        <v>6.375</v>
      </c>
      <c r="C85" s="218">
        <f>NonQM!C14</f>
        <v>98.975500000000011</v>
      </c>
      <c r="D85" s="218">
        <f>NonQM!D14</f>
        <v>98.675500000000028</v>
      </c>
      <c r="E85" s="219"/>
      <c r="F85" s="219"/>
      <c r="G85" s="212" t="e">
        <f>NonQM!V40</f>
        <v>#N/A</v>
      </c>
      <c r="H85" s="213">
        <v>4</v>
      </c>
      <c r="I85" s="220">
        <f t="shared" si="0"/>
        <v>6.375</v>
      </c>
      <c r="J85" s="221" t="e">
        <f t="shared" si="1"/>
        <v>#N/A</v>
      </c>
      <c r="K85" s="221" t="e">
        <f t="shared" si="2"/>
        <v>#N/A</v>
      </c>
      <c r="L85" s="222"/>
      <c r="M85" s="222"/>
      <c r="N85" s="212">
        <v>6.375</v>
      </c>
      <c r="P85" s="399"/>
      <c r="U85" s="596"/>
      <c r="V85" s="596"/>
      <c r="W85" s="596"/>
      <c r="Y85" s="192" t="s">
        <v>628</v>
      </c>
      <c r="Z85" s="596"/>
      <c r="AA85" s="596"/>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6.4989999999999997</v>
      </c>
      <c r="C86" s="218">
        <f>NonQM!C15</f>
        <v>99.412500000000023</v>
      </c>
      <c r="D86" s="218">
        <f>NonQM!D15</f>
        <v>99.112500000000026</v>
      </c>
      <c r="E86" s="219"/>
      <c r="F86" s="219"/>
      <c r="H86" s="213">
        <v>5</v>
      </c>
      <c r="I86" s="220">
        <f t="shared" si="0"/>
        <v>6.4989999999999997</v>
      </c>
      <c r="J86" s="221" t="e">
        <f t="shared" si="1"/>
        <v>#N/A</v>
      </c>
      <c r="K86" s="221" t="e">
        <f t="shared" si="2"/>
        <v>#N/A</v>
      </c>
      <c r="L86" s="222"/>
      <c r="M86" s="222"/>
      <c r="N86" s="212">
        <v>6.4989999999999997</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6.625</v>
      </c>
      <c r="C87" s="218">
        <f>NonQM!C16</f>
        <v>99.810500000000019</v>
      </c>
      <c r="D87" s="218">
        <f>NonQM!D16</f>
        <v>99.510500000000022</v>
      </c>
      <c r="E87" s="219"/>
      <c r="F87" s="219"/>
      <c r="H87" s="213">
        <v>6</v>
      </c>
      <c r="I87" s="220">
        <f t="shared" si="0"/>
        <v>6.625</v>
      </c>
      <c r="J87" s="221" t="e">
        <f t="shared" si="1"/>
        <v>#N/A</v>
      </c>
      <c r="K87" s="221" t="e">
        <f t="shared" si="2"/>
        <v>#N/A</v>
      </c>
      <c r="L87" s="222"/>
      <c r="M87" s="222"/>
      <c r="N87" s="212">
        <v>6.625</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6.75</v>
      </c>
      <c r="C88" s="218">
        <f>NonQM!C17</f>
        <v>100.20150000000002</v>
      </c>
      <c r="D88" s="218">
        <f>NonQM!D17</f>
        <v>99.901500000000027</v>
      </c>
      <c r="E88" s="219"/>
      <c r="F88" s="219"/>
      <c r="H88" s="213">
        <v>7</v>
      </c>
      <c r="I88" s="220">
        <f t="shared" si="0"/>
        <v>6.75</v>
      </c>
      <c r="J88" s="221" t="e">
        <f t="shared" si="1"/>
        <v>#N/A</v>
      </c>
      <c r="K88" s="221" t="e">
        <f t="shared" si="2"/>
        <v>#N/A</v>
      </c>
      <c r="L88" s="222"/>
      <c r="M88" s="222"/>
      <c r="N88" s="212">
        <v>6.75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6.875</v>
      </c>
      <c r="C89" s="218">
        <f>NonQM!C18</f>
        <v>100.58450000000002</v>
      </c>
      <c r="D89" s="218">
        <f>NonQM!D18</f>
        <v>100.28450000000002</v>
      </c>
      <c r="E89" s="219"/>
      <c r="F89" s="219"/>
      <c r="G89" s="162" t="str">
        <f>NonQM!U17</f>
        <v>Choose a Selection</v>
      </c>
      <c r="H89" s="213">
        <v>8</v>
      </c>
      <c r="I89" s="220">
        <f t="shared" si="0"/>
        <v>6.875</v>
      </c>
      <c r="J89" s="221" t="e">
        <f t="shared" si="1"/>
        <v>#N/A</v>
      </c>
      <c r="K89" s="221" t="e">
        <f t="shared" si="2"/>
        <v>#N/A</v>
      </c>
      <c r="L89" s="222"/>
      <c r="M89" s="222"/>
      <c r="N89" s="212">
        <v>6.875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6.9989999999999997</v>
      </c>
      <c r="C90" s="218">
        <f>NonQM!C19</f>
        <v>100.95950000000002</v>
      </c>
      <c r="D90" s="218">
        <f>NonQM!D19</f>
        <v>100.65950000000002</v>
      </c>
      <c r="E90" s="219"/>
      <c r="F90" s="219"/>
      <c r="G90" s="162" t="str">
        <f>DSCR!S17</f>
        <v>DSCR</v>
      </c>
      <c r="H90" s="213">
        <v>9</v>
      </c>
      <c r="I90" s="220">
        <f t="shared" si="0"/>
        <v>6.9989999999999997</v>
      </c>
      <c r="J90" s="221" t="e">
        <f t="shared" si="1"/>
        <v>#N/A</v>
      </c>
      <c r="K90" s="221" t="e">
        <f t="shared" si="2"/>
        <v>#N/A</v>
      </c>
      <c r="L90" s="222"/>
      <c r="M90" s="222"/>
      <c r="N90" s="212">
        <v>6.9989999999999997</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7.125</v>
      </c>
      <c r="C91" s="218">
        <f>NonQM!C20</f>
        <v>101.32650000000002</v>
      </c>
      <c r="D91" s="218">
        <f>NonQM!D20</f>
        <v>101.02650000000003</v>
      </c>
      <c r="E91" s="219"/>
      <c r="F91" s="219"/>
      <c r="G91" s="162" t="str">
        <f>IF(DSCR!S24="DSCR 5-8", "DSCR 5-8", "")</f>
        <v/>
      </c>
      <c r="H91" s="213">
        <v>10</v>
      </c>
      <c r="I91" s="220">
        <f t="shared" si="0"/>
        <v>7.125</v>
      </c>
      <c r="J91" s="221" t="e">
        <f t="shared" si="1"/>
        <v>#N/A</v>
      </c>
      <c r="K91" s="221" t="e">
        <f t="shared" si="2"/>
        <v>#N/A</v>
      </c>
      <c r="L91" s="222"/>
      <c r="M91" s="222"/>
      <c r="N91" s="212">
        <v>7.125</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7.25</v>
      </c>
      <c r="C92" s="218">
        <f>NonQM!C21</f>
        <v>101.68550000000002</v>
      </c>
      <c r="D92" s="218">
        <f>NonQM!D21</f>
        <v>101.38550000000002</v>
      </c>
      <c r="E92" s="219"/>
      <c r="F92" s="219"/>
      <c r="H92" s="213">
        <v>11</v>
      </c>
      <c r="I92" s="220">
        <f t="shared" si="0"/>
        <v>7.25</v>
      </c>
      <c r="J92" s="221" t="e">
        <f t="shared" si="1"/>
        <v>#N/A</v>
      </c>
      <c r="K92" s="221" t="e">
        <f t="shared" si="2"/>
        <v>#N/A</v>
      </c>
      <c r="L92" s="222"/>
      <c r="M92" s="222"/>
      <c r="N92" s="212">
        <v>7.25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7.375</v>
      </c>
      <c r="C93" s="218">
        <f>NonQM!C22</f>
        <v>102.03750000000002</v>
      </c>
      <c r="D93" s="218">
        <f>NonQM!D22</f>
        <v>101.73750000000003</v>
      </c>
      <c r="E93" s="219"/>
      <c r="F93" s="219"/>
      <c r="H93" s="213">
        <v>12</v>
      </c>
      <c r="I93" s="220">
        <f t="shared" si="0"/>
        <v>7.375</v>
      </c>
      <c r="J93" s="221" t="e">
        <f t="shared" si="1"/>
        <v>#N/A</v>
      </c>
      <c r="K93" s="221" t="e">
        <f t="shared" si="2"/>
        <v>#N/A</v>
      </c>
      <c r="L93" s="222"/>
      <c r="M93" s="222"/>
      <c r="N93" s="212">
        <v>7.375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7.4989999999999997</v>
      </c>
      <c r="C94" s="218">
        <f>NonQM!C23</f>
        <v>102.38150000000002</v>
      </c>
      <c r="D94" s="218">
        <f>NonQM!D23</f>
        <v>102.08150000000002</v>
      </c>
      <c r="E94" s="219"/>
      <c r="F94" s="219"/>
      <c r="G94" s="212" t="e">
        <f>SUM(DSCR!T12:T35)+B67</f>
        <v>#N/A</v>
      </c>
      <c r="H94" s="213">
        <v>13</v>
      </c>
      <c r="I94" s="220">
        <f t="shared" si="0"/>
        <v>7.4989999999999997</v>
      </c>
      <c r="J94" s="221" t="e">
        <f t="shared" si="1"/>
        <v>#N/A</v>
      </c>
      <c r="K94" s="221" t="e">
        <f t="shared" si="2"/>
        <v>#N/A</v>
      </c>
      <c r="L94" s="222"/>
      <c r="M94" s="222"/>
      <c r="N94" s="212">
        <v>7.4989999999999997</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7.625</v>
      </c>
      <c r="C95" s="218">
        <f>NonQM!C24</f>
        <v>102.71750000000003</v>
      </c>
      <c r="D95" s="218">
        <f>NonQM!D24</f>
        <v>102.41750000000003</v>
      </c>
      <c r="E95" s="219"/>
      <c r="F95" s="219"/>
      <c r="H95" s="213">
        <v>14</v>
      </c>
      <c r="I95" s="220">
        <f t="shared" si="0"/>
        <v>7.625</v>
      </c>
      <c r="J95" s="221" t="e">
        <f t="shared" si="1"/>
        <v>#N/A</v>
      </c>
      <c r="K95" s="221" t="e">
        <f t="shared" si="2"/>
        <v>#N/A</v>
      </c>
      <c r="L95" s="222"/>
      <c r="M95" s="222"/>
      <c r="N95" s="212">
        <v>7.625</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7.75</v>
      </c>
      <c r="C96" s="218">
        <f>NonQM!C25</f>
        <v>103.04550000000002</v>
      </c>
      <c r="D96" s="218">
        <f>NonQM!D25</f>
        <v>102.74550000000002</v>
      </c>
      <c r="E96" s="219"/>
      <c r="F96" s="219"/>
      <c r="H96" s="213">
        <v>15</v>
      </c>
      <c r="I96" s="220">
        <f t="shared" si="0"/>
        <v>7.75</v>
      </c>
      <c r="J96" s="221" t="e">
        <f t="shared" si="1"/>
        <v>#N/A</v>
      </c>
      <c r="K96" s="221" t="e">
        <f t="shared" si="2"/>
        <v>#N/A</v>
      </c>
      <c r="L96" s="222"/>
      <c r="M96" s="222"/>
      <c r="N96" s="212">
        <v>7.75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7.875</v>
      </c>
      <c r="C97" s="218">
        <f>NonQM!C26</f>
        <v>103.36550000000003</v>
      </c>
      <c r="D97" s="218">
        <f>NonQM!D26</f>
        <v>103.06550000000003</v>
      </c>
      <c r="E97" s="219"/>
      <c r="F97" s="219"/>
      <c r="G97" s="212"/>
      <c r="H97" s="213">
        <v>16</v>
      </c>
      <c r="I97" s="220">
        <f t="shared" si="0"/>
        <v>7.875</v>
      </c>
      <c r="J97" s="221" t="e">
        <f t="shared" si="1"/>
        <v>#N/A</v>
      </c>
      <c r="K97" s="221" t="e">
        <f t="shared" si="2"/>
        <v>#N/A</v>
      </c>
      <c r="L97" s="222"/>
      <c r="M97" s="222"/>
      <c r="N97" s="212">
        <v>7.875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7.9989999999999997</v>
      </c>
      <c r="C98" s="218">
        <f>NonQM!C27</f>
        <v>103.64650000000002</v>
      </c>
      <c r="D98" s="218">
        <f>NonQM!D27</f>
        <v>103.34650000000002</v>
      </c>
      <c r="E98" s="219"/>
      <c r="F98" s="219"/>
      <c r="G98" s="212"/>
      <c r="H98" s="213">
        <v>17</v>
      </c>
      <c r="I98" s="220">
        <f t="shared" si="0"/>
        <v>7.9989999999999997</v>
      </c>
      <c r="J98" s="221" t="e">
        <f t="shared" si="1"/>
        <v>#N/A</v>
      </c>
      <c r="K98" s="221" t="e">
        <f t="shared" si="2"/>
        <v>#N/A</v>
      </c>
      <c r="L98" s="222"/>
      <c r="M98" s="222"/>
      <c r="N98" s="212">
        <v>7.9989999999999997</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8.125</v>
      </c>
      <c r="C99" s="218">
        <f>NonQM!C28</f>
        <v>103.89650000000002</v>
      </c>
      <c r="D99" s="218">
        <f>NonQM!D28</f>
        <v>103.59650000000002</v>
      </c>
      <c r="E99" s="219"/>
      <c r="F99" s="219"/>
      <c r="H99" s="213">
        <v>18</v>
      </c>
      <c r="I99" s="225">
        <f t="shared" si="0"/>
        <v>8.125</v>
      </c>
      <c r="J99" s="226" t="e">
        <f t="shared" si="1"/>
        <v>#N/A</v>
      </c>
      <c r="K99" s="226" t="e">
        <f t="shared" si="2"/>
        <v>#N/A</v>
      </c>
      <c r="L99" s="227"/>
      <c r="M99" s="227"/>
      <c r="N99" s="212">
        <v>8.125</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8.25</v>
      </c>
      <c r="C100" s="218">
        <f>NonQM!C29</f>
        <v>104.14650000000002</v>
      </c>
      <c r="D100" s="218">
        <f>NonQM!D29</f>
        <v>103.84650000000002</v>
      </c>
      <c r="E100" s="219"/>
      <c r="F100" s="219"/>
      <c r="H100" s="213">
        <v>19</v>
      </c>
      <c r="I100" s="225">
        <f t="shared" si="0"/>
        <v>8.25</v>
      </c>
      <c r="J100" s="226" t="e">
        <f t="shared" si="1"/>
        <v>#N/A</v>
      </c>
      <c r="K100" s="226" t="e">
        <f t="shared" si="2"/>
        <v>#N/A</v>
      </c>
      <c r="L100" s="227"/>
      <c r="M100" s="227"/>
      <c r="N100" s="212">
        <v>8.25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8.375</v>
      </c>
      <c r="C101" s="218">
        <f>NonQM!C30</f>
        <v>104.39650000000002</v>
      </c>
      <c r="D101" s="218">
        <f>NonQM!D30</f>
        <v>104.09650000000002</v>
      </c>
      <c r="E101" s="219"/>
      <c r="F101" s="219"/>
      <c r="H101" s="213">
        <v>20</v>
      </c>
      <c r="I101" s="220">
        <f t="shared" si="0"/>
        <v>8.375</v>
      </c>
      <c r="J101" s="221" t="e">
        <f t="shared" si="1"/>
        <v>#N/A</v>
      </c>
      <c r="K101" s="221" t="e">
        <f t="shared" si="2"/>
        <v>#N/A</v>
      </c>
      <c r="L101" s="222"/>
      <c r="M101" s="222"/>
      <c r="N101" s="212">
        <v>8.375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8.4990000000000006</v>
      </c>
      <c r="C102" s="218">
        <f>NonQM!C31</f>
        <v>104.64650000000002</v>
      </c>
      <c r="D102" s="218">
        <f>NonQM!D31</f>
        <v>104.34650000000002</v>
      </c>
      <c r="E102" s="219"/>
      <c r="F102" s="219"/>
      <c r="H102" s="213">
        <v>21</v>
      </c>
      <c r="I102" s="220">
        <f t="shared" si="0"/>
        <v>8.4990000000000006</v>
      </c>
      <c r="J102" s="221" t="e">
        <f t="shared" si="1"/>
        <v>#N/A</v>
      </c>
      <c r="K102" s="221" t="e">
        <f t="shared" si="2"/>
        <v>#N/A</v>
      </c>
      <c r="L102" s="222"/>
      <c r="M102" s="222"/>
      <c r="N102" s="212">
        <v>8.4990000000000006</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8.625</v>
      </c>
      <c r="C103" s="218">
        <f>NonQM!C32</f>
        <v>104.89650000000002</v>
      </c>
      <c r="D103" s="218">
        <f>NonQM!D32</f>
        <v>104.59650000000002</v>
      </c>
      <c r="E103" s="219"/>
      <c r="F103" s="219"/>
      <c r="H103" s="213">
        <v>22</v>
      </c>
      <c r="I103" s="220">
        <f t="shared" si="0"/>
        <v>8.625</v>
      </c>
      <c r="J103" s="221" t="e">
        <f t="shared" si="1"/>
        <v>#N/A</v>
      </c>
      <c r="K103" s="221" t="e">
        <f t="shared" si="2"/>
        <v>#N/A</v>
      </c>
      <c r="L103" s="222"/>
      <c r="M103" s="222"/>
      <c r="N103" s="212">
        <v>8.625</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8.75</v>
      </c>
      <c r="C104" s="218">
        <f>NonQM!C33</f>
        <v>105.08450000000002</v>
      </c>
      <c r="D104" s="218">
        <f>NonQM!D33</f>
        <v>104.78450000000002</v>
      </c>
      <c r="E104" s="219"/>
      <c r="F104" s="219"/>
      <c r="H104" s="213">
        <v>23</v>
      </c>
      <c r="I104" s="220">
        <f t="shared" si="0"/>
        <v>8.75</v>
      </c>
      <c r="J104" s="221" t="e">
        <f t="shared" si="1"/>
        <v>#N/A</v>
      </c>
      <c r="K104" s="221" t="e">
        <f t="shared" si="2"/>
        <v>#N/A</v>
      </c>
      <c r="L104" s="222"/>
      <c r="M104" s="222"/>
      <c r="N104" s="212">
        <v>8.75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8.875</v>
      </c>
      <c r="C105" s="218">
        <f>NonQM!C34</f>
        <v>105.27150000000002</v>
      </c>
      <c r="D105" s="218">
        <f>NonQM!D34</f>
        <v>104.97150000000002</v>
      </c>
      <c r="E105" s="219"/>
      <c r="F105" s="219"/>
      <c r="H105" s="213">
        <v>24</v>
      </c>
      <c r="I105" s="220">
        <f t="shared" si="0"/>
        <v>8.875</v>
      </c>
      <c r="J105" s="221" t="e">
        <f t="shared" si="1"/>
        <v>#N/A</v>
      </c>
      <c r="K105" s="221" t="e">
        <f t="shared" si="2"/>
        <v>#N/A</v>
      </c>
      <c r="L105" s="222"/>
      <c r="M105" s="222"/>
      <c r="N105" s="212">
        <v>8.875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8.9990000000000006</v>
      </c>
      <c r="C106" s="218">
        <f>NonQM!C35</f>
        <v>105.45950000000002</v>
      </c>
      <c r="D106" s="218">
        <f>NonQM!D35</f>
        <v>105.15950000000002</v>
      </c>
      <c r="E106" s="219"/>
      <c r="F106" s="219"/>
      <c r="H106" s="213">
        <v>25</v>
      </c>
      <c r="I106" s="220">
        <f t="shared" si="0"/>
        <v>8.9990000000000006</v>
      </c>
      <c r="J106" s="221" t="e">
        <f t="shared" si="1"/>
        <v>#N/A</v>
      </c>
      <c r="K106" s="221" t="e">
        <f t="shared" si="2"/>
        <v>#N/A</v>
      </c>
      <c r="L106" s="222"/>
      <c r="M106" s="222"/>
      <c r="N106" s="212">
        <v>8.9990000000000006</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9.125</v>
      </c>
      <c r="C107" s="218">
        <f>NonQM!C36</f>
        <v>105.64650000000002</v>
      </c>
      <c r="D107" s="218">
        <f>NonQM!D36</f>
        <v>105.34650000000002</v>
      </c>
      <c r="E107" s="219"/>
      <c r="F107" s="219"/>
      <c r="H107" s="213">
        <v>26</v>
      </c>
      <c r="I107" s="220">
        <f t="shared" si="0"/>
        <v>9.125</v>
      </c>
      <c r="J107" s="221" t="e">
        <f t="shared" si="1"/>
        <v>#N/A</v>
      </c>
      <c r="K107" s="221" t="e">
        <f t="shared" si="2"/>
        <v>#N/A</v>
      </c>
      <c r="L107" s="222"/>
      <c r="M107" s="222"/>
      <c r="N107" s="212">
        <v>9.125</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9.25</v>
      </c>
      <c r="C108" s="218">
        <f>NonQM!C37</f>
        <v>105.83450000000002</v>
      </c>
      <c r="D108" s="218">
        <f>NonQM!D37</f>
        <v>105.53450000000002</v>
      </c>
      <c r="E108" s="219"/>
      <c r="F108" s="219"/>
      <c r="H108" s="213">
        <v>27</v>
      </c>
      <c r="I108" s="220">
        <f t="shared" si="0"/>
        <v>9.25</v>
      </c>
      <c r="J108" s="221" t="e">
        <f t="shared" si="1"/>
        <v>#N/A</v>
      </c>
      <c r="K108" s="221" t="e">
        <f t="shared" si="2"/>
        <v>#N/A</v>
      </c>
      <c r="L108" s="222"/>
      <c r="M108" s="222"/>
      <c r="N108" s="212">
        <v>9.25</v>
      </c>
      <c r="Y108" s="162" t="s">
        <v>273</v>
      </c>
      <c r="Z108" s="223" t="str">
        <f>IF(AND(
   ISNUMBER(MATCH(NonQM!$U$12, $A$8, 0)),
   ISNUMBER(MATCH(NonQM!$U$11, $B$8:$B$11, 0)),
   ISNUMBER(MATCH(NonQM!$U$15, $D$18, 0)),
   ISNUMBER(MATCH(NonQM!$U$22, $J$3:$J$5, 0)),
   ISNUMBER(MATCH(NonQM!$U$21, $G$8, 0)),
   NonQM!$U$13 = $C$4
), NA(), "")</f>
        <v/>
      </c>
      <c r="AA108" s="162" t="s">
        <v>928</v>
      </c>
      <c r="AB108"/>
      <c r="AC108"/>
      <c r="AD108"/>
      <c r="AE108"/>
      <c r="AF108"/>
      <c r="AG108"/>
      <c r="AH108"/>
      <c r="AI108"/>
      <c r="AJ108"/>
      <c r="AK108"/>
      <c r="AL108"/>
      <c r="AM108"/>
      <c r="AN108"/>
    </row>
    <row r="109" spans="2:48" x14ac:dyDescent="0.25">
      <c r="B109" s="217">
        <f>NonQM!B38</f>
        <v>9.375</v>
      </c>
      <c r="C109" s="218">
        <f>NonQM!C38</f>
        <v>106.02150000000002</v>
      </c>
      <c r="D109" s="218">
        <f>NonQM!D38</f>
        <v>105.72150000000002</v>
      </c>
      <c r="E109" s="219"/>
      <c r="F109" s="219"/>
      <c r="H109" s="213">
        <v>28</v>
      </c>
      <c r="I109" s="220">
        <f t="shared" si="0"/>
        <v>9.375</v>
      </c>
      <c r="J109" s="221" t="e">
        <f t="shared" si="1"/>
        <v>#N/A</v>
      </c>
      <c r="K109" s="221" t="e">
        <f t="shared" si="2"/>
        <v>#N/A</v>
      </c>
      <c r="L109" s="222"/>
      <c r="M109" s="222"/>
      <c r="N109" s="212">
        <v>9.375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9.4990000000000006</v>
      </c>
      <c r="C110" s="218">
        <f>NonQM!C39</f>
        <v>106.20950000000002</v>
      </c>
      <c r="D110" s="218">
        <f>NonQM!D39</f>
        <v>105.90950000000002</v>
      </c>
      <c r="E110" s="219"/>
      <c r="F110" s="219"/>
      <c r="H110" s="213">
        <v>29</v>
      </c>
      <c r="I110" s="220">
        <f t="shared" si="0"/>
        <v>9.4990000000000006</v>
      </c>
      <c r="J110" s="221" t="e">
        <f t="shared" si="1"/>
        <v>#N/A</v>
      </c>
      <c r="K110" s="221" t="e">
        <f t="shared" si="2"/>
        <v>#N/A</v>
      </c>
      <c r="L110" s="222"/>
      <c r="M110" s="222"/>
      <c r="N110" s="212">
        <v>9.4990000000000006</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9.625</v>
      </c>
      <c r="C111" s="218">
        <f>NonQM!C40</f>
        <v>106.39650000000002</v>
      </c>
      <c r="D111" s="218">
        <f>NonQM!D40</f>
        <v>106.09650000000002</v>
      </c>
      <c r="E111" s="219"/>
      <c r="F111" s="219"/>
      <c r="H111" s="213">
        <v>30</v>
      </c>
      <c r="I111" s="220">
        <f t="shared" si="0"/>
        <v>9.625</v>
      </c>
      <c r="J111" s="221" t="e">
        <f t="shared" si="1"/>
        <v>#N/A</v>
      </c>
      <c r="K111" s="221" t="e">
        <f t="shared" si="2"/>
        <v>#N/A</v>
      </c>
      <c r="L111" s="222"/>
      <c r="M111" s="222"/>
      <c r="N111" s="212">
        <v>9.625</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9.75</v>
      </c>
      <c r="C112" s="218">
        <f>NonQM!C41</f>
        <v>106.58450000000002</v>
      </c>
      <c r="D112" s="218">
        <f>NonQM!D41</f>
        <v>106.28450000000002</v>
      </c>
      <c r="E112" s="219"/>
      <c r="F112" s="219"/>
      <c r="H112" s="213">
        <v>31</v>
      </c>
      <c r="I112" s="220">
        <f t="shared" si="0"/>
        <v>9.75</v>
      </c>
      <c r="J112" s="221" t="e">
        <f t="shared" si="1"/>
        <v>#N/A</v>
      </c>
      <c r="K112" s="221" t="e">
        <f t="shared" si="2"/>
        <v>#N/A</v>
      </c>
      <c r="L112" s="222"/>
      <c r="M112" s="222"/>
      <c r="N112" s="212">
        <v>9.75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9.875</v>
      </c>
      <c r="C113" s="218">
        <f>NonQM!C42</f>
        <v>106.70950000000002</v>
      </c>
      <c r="D113" s="218">
        <f>NonQM!D42</f>
        <v>106.40950000000002</v>
      </c>
      <c r="E113" s="219"/>
      <c r="F113" s="219"/>
      <c r="H113" s="213">
        <v>32</v>
      </c>
      <c r="I113" s="220">
        <f t="shared" si="0"/>
        <v>9.875</v>
      </c>
      <c r="J113" s="221" t="e">
        <f t="shared" si="1"/>
        <v>#N/A</v>
      </c>
      <c r="K113" s="221" t="e">
        <f t="shared" si="2"/>
        <v>#N/A</v>
      </c>
      <c r="L113" s="222"/>
      <c r="M113" s="222"/>
      <c r="N113" s="212">
        <v>9.875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9.9990000000000006</v>
      </c>
      <c r="C114" s="218">
        <f>NonQM!C43</f>
        <v>106.83450000000002</v>
      </c>
      <c r="D114" s="218">
        <f>NonQM!D43</f>
        <v>106.53450000000002</v>
      </c>
      <c r="E114" s="219"/>
      <c r="F114" s="219"/>
      <c r="H114" s="213">
        <v>33</v>
      </c>
      <c r="I114" s="220">
        <f t="shared" si="0"/>
        <v>9.9990000000000006</v>
      </c>
      <c r="J114" s="221" t="e">
        <f t="shared" si="1"/>
        <v>#N/A</v>
      </c>
      <c r="K114" s="221" t="e">
        <f t="shared" si="2"/>
        <v>#N/A</v>
      </c>
      <c r="L114" s="222"/>
      <c r="M114" s="222"/>
      <c r="N114" s="212">
        <v>9.9990000000000006</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10.125</v>
      </c>
      <c r="C115" s="218">
        <f>NonQM!C44</f>
        <v>106.95950000000002</v>
      </c>
      <c r="D115" s="218">
        <f>NonQM!D44</f>
        <v>106.65950000000002</v>
      </c>
      <c r="E115" s="219"/>
      <c r="F115" s="219"/>
      <c r="H115" s="213">
        <v>34</v>
      </c>
      <c r="I115" s="220">
        <f t="shared" si="0"/>
        <v>10.125</v>
      </c>
      <c r="J115" s="221" t="e">
        <f t="shared" si="1"/>
        <v>#N/A</v>
      </c>
      <c r="K115" s="221" t="e">
        <f t="shared" si="2"/>
        <v>#N/A</v>
      </c>
      <c r="L115" s="222"/>
      <c r="M115" s="222"/>
      <c r="N115" s="212">
        <v>10.125</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10.25</v>
      </c>
      <c r="C116" s="218">
        <f>NonQM!C45</f>
        <v>107.08450000000002</v>
      </c>
      <c r="D116" s="218">
        <f>NonQM!D45</f>
        <v>106.78450000000002</v>
      </c>
      <c r="E116" s="219"/>
      <c r="F116" s="219"/>
      <c r="H116" s="213">
        <v>35</v>
      </c>
      <c r="I116" s="220">
        <f t="shared" si="0"/>
        <v>10.25</v>
      </c>
      <c r="J116" s="221" t="e">
        <f t="shared" si="1"/>
        <v>#N/A</v>
      </c>
      <c r="K116" s="221" t="e">
        <f t="shared" si="2"/>
        <v>#N/A</v>
      </c>
      <c r="L116" s="222"/>
      <c r="M116" s="222"/>
      <c r="N116" s="212">
        <v>10.25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10.375</v>
      </c>
      <c r="C117" s="218">
        <f>NonQM!C46</f>
        <v>107.20950000000002</v>
      </c>
      <c r="D117" s="218">
        <f>NonQM!D46</f>
        <v>106.90950000000002</v>
      </c>
      <c r="E117" s="219"/>
      <c r="F117" s="219"/>
      <c r="H117" s="213">
        <v>36</v>
      </c>
      <c r="I117" s="220">
        <f t="shared" si="0"/>
        <v>10.375</v>
      </c>
      <c r="J117" s="221" t="e">
        <f t="shared" si="1"/>
        <v>#N/A</v>
      </c>
      <c r="K117" s="221" t="e">
        <f t="shared" si="2"/>
        <v>#N/A</v>
      </c>
      <c r="L117" s="222"/>
      <c r="M117" s="222"/>
      <c r="N117" s="212">
        <v>10.375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10.499000000000001</v>
      </c>
      <c r="C118" s="218">
        <f>NonQM!C47</f>
        <v>107.33450000000002</v>
      </c>
      <c r="D118" s="218">
        <f>NonQM!D47</f>
        <v>107.03450000000002</v>
      </c>
      <c r="E118" s="219"/>
      <c r="F118" s="219"/>
      <c r="H118" s="213">
        <v>37</v>
      </c>
      <c r="I118" s="220">
        <f t="shared" si="0"/>
        <v>10.499000000000001</v>
      </c>
      <c r="J118" s="221" t="e">
        <f t="shared" si="1"/>
        <v>#N/A</v>
      </c>
      <c r="K118" s="221" t="e">
        <f t="shared" si="2"/>
        <v>#N/A</v>
      </c>
      <c r="L118" s="222"/>
      <c r="M118" s="222"/>
      <c r="N118" s="212">
        <v>10.499000000000001</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10.625</v>
      </c>
      <c r="C119" s="218">
        <f>NonQM!C48</f>
        <v>107.45950000000002</v>
      </c>
      <c r="D119" s="218">
        <f>NonQM!D48</f>
        <v>107.15950000000002</v>
      </c>
      <c r="E119" s="219"/>
      <c r="F119" s="219"/>
      <c r="H119" s="213">
        <v>38</v>
      </c>
      <c r="I119" s="220">
        <f t="shared" si="0"/>
        <v>10.625</v>
      </c>
      <c r="J119" s="221" t="e">
        <f t="shared" si="1"/>
        <v>#N/A</v>
      </c>
      <c r="K119" s="221" t="e">
        <f t="shared" si="2"/>
        <v>#N/A</v>
      </c>
      <c r="L119" s="222"/>
      <c r="M119" s="222"/>
      <c r="N119" s="212">
        <v>10.625</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0</v>
      </c>
      <c r="C120" s="218">
        <f>NonQM!C49</f>
        <v>0</v>
      </c>
      <c r="D120" s="218">
        <f>NonQM!D49</f>
        <v>0</v>
      </c>
      <c r="E120" s="219"/>
      <c r="F120" s="219"/>
      <c r="H120" s="213">
        <v>39</v>
      </c>
      <c r="I120" s="220">
        <f t="shared" si="0"/>
        <v>0</v>
      </c>
      <c r="J120" s="221" t="e">
        <f t="shared" si="1"/>
        <v>#N/A</v>
      </c>
      <c r="K120" s="221" t="e">
        <f t="shared" si="2"/>
        <v>#N/A</v>
      </c>
      <c r="L120" s="222"/>
      <c r="M120" s="222"/>
      <c r="N120" s="212">
        <v>0</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0</v>
      </c>
      <c r="C121" s="218">
        <f>NonQM!C50</f>
        <v>0</v>
      </c>
      <c r="D121" s="218">
        <f>NonQM!D50</f>
        <v>0</v>
      </c>
      <c r="E121" s="219"/>
      <c r="F121" s="219"/>
      <c r="H121" s="213">
        <v>40</v>
      </c>
      <c r="I121" s="220">
        <f t="shared" si="0"/>
        <v>0</v>
      </c>
      <c r="J121" s="221" t="e">
        <f t="shared" si="1"/>
        <v>#N/A</v>
      </c>
      <c r="K121" s="221" t="e">
        <f t="shared" si="2"/>
        <v>#N/A</v>
      </c>
      <c r="L121" s="222"/>
      <c r="M121" s="222"/>
      <c r="N121" s="212">
        <v>0</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0"/>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9"/>
      <c r="P124" s="499"/>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9"/>
      <c r="P125" s="499"/>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9"/>
      <c r="P126" s="499"/>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9"/>
      <c r="P127" s="499"/>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9"/>
      <c r="P128" s="499"/>
      <c r="AA128"/>
      <c r="AB128"/>
      <c r="AC128"/>
      <c r="AD128"/>
      <c r="AE128"/>
      <c r="AF128"/>
      <c r="AG128"/>
      <c r="AH128"/>
      <c r="AI128"/>
      <c r="AJ128"/>
      <c r="AK128"/>
      <c r="AL128"/>
      <c r="AM128"/>
      <c r="AN128"/>
    </row>
    <row r="129" spans="1:40" x14ac:dyDescent="0.25">
      <c r="B129" s="852" t="str">
        <f>NonQM!S55</f>
        <v>Max Price</v>
      </c>
      <c r="C129" s="853"/>
      <c r="D129" s="854"/>
      <c r="E129" s="238" t="s">
        <v>636</v>
      </c>
      <c r="F129"/>
      <c r="J129" s="232" t="e">
        <f ca="1">VLOOKUP(J126,H82:J125,3,FALSE)</f>
        <v>#N/A</v>
      </c>
      <c r="K129" s="233" t="e">
        <f ca="1">VLOOKUP(K126,H82:K125,4,FALSE)</f>
        <v>#N/A</v>
      </c>
      <c r="L129" s="239"/>
      <c r="M129" s="239"/>
      <c r="N129"/>
      <c r="O129" s="499"/>
      <c r="P129" s="499"/>
      <c r="AA129"/>
      <c r="AB129"/>
      <c r="AC129"/>
      <c r="AD129"/>
      <c r="AE129"/>
      <c r="AF129"/>
      <c r="AG129"/>
      <c r="AH129"/>
      <c r="AI129"/>
      <c r="AJ129"/>
      <c r="AK129"/>
      <c r="AL129"/>
      <c r="AM129"/>
      <c r="AN129"/>
    </row>
    <row r="130" spans="1:40" ht="15.75" thickBot="1" x14ac:dyDescent="0.3">
      <c r="B130" s="841" t="str">
        <f>NonQM!S56</f>
        <v>Owner/2nd Home</v>
      </c>
      <c r="C130" s="842"/>
      <c r="D130" s="506">
        <f>NonQM!T56</f>
        <v>102</v>
      </c>
      <c r="E130" s="493" t="str" cm="1">
        <f t="array" ref="E130">IF(OR(NonQM!U23=L3:L4),D130,"")</f>
        <v/>
      </c>
      <c r="F130"/>
      <c r="J130" s="243">
        <f>IF(G89=J81,J129,0)</f>
        <v>0</v>
      </c>
      <c r="K130" s="244">
        <f>IF(G89=K81,K129,0)</f>
        <v>0</v>
      </c>
      <c r="L130" s="245"/>
      <c r="M130" s="246"/>
      <c r="N130" s="212">
        <f>SUM(J128:M128)</f>
        <v>0</v>
      </c>
      <c r="O130" s="499"/>
      <c r="P130" s="499"/>
      <c r="AA130"/>
      <c r="AB130"/>
      <c r="AC130"/>
      <c r="AD130"/>
      <c r="AE130"/>
      <c r="AF130"/>
      <c r="AG130"/>
      <c r="AH130"/>
      <c r="AI130"/>
      <c r="AJ130"/>
      <c r="AK130"/>
      <c r="AL130"/>
      <c r="AM130"/>
      <c r="AN130"/>
    </row>
    <row r="131" spans="1:40" x14ac:dyDescent="0.25">
      <c r="B131" s="841" t="str">
        <f>NonQM!S57</f>
        <v>&gt;$2,500,000</v>
      </c>
      <c r="C131" s="842"/>
      <c r="D131" s="507">
        <f>NonQM!T57</f>
        <v>101</v>
      </c>
      <c r="E131" s="493" t="str" cm="1">
        <f t="array" ref="E131">IF(OR(NonQM!U21=G10:G13),D131,"")</f>
        <v/>
      </c>
      <c r="F131"/>
      <c r="AA131"/>
      <c r="AB131"/>
      <c r="AC131"/>
      <c r="AD131"/>
      <c r="AE131"/>
      <c r="AF131"/>
      <c r="AG131"/>
      <c r="AH131"/>
      <c r="AI131"/>
      <c r="AJ131"/>
      <c r="AK131"/>
      <c r="AL131"/>
      <c r="AM131"/>
      <c r="AN131"/>
    </row>
    <row r="132" spans="1:40" x14ac:dyDescent="0.25">
      <c r="B132" s="841" t="str">
        <f>NonQM!S58</f>
        <v>80.01-90.00% LTV</v>
      </c>
      <c r="C132" s="842"/>
      <c r="D132" s="507">
        <f>NonQM!T58</f>
        <v>101</v>
      </c>
      <c r="E132" s="493"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41" t="str">
        <f>NonQM!S59</f>
        <v>ITIN/Foreign National</v>
      </c>
      <c r="C133" s="842"/>
      <c r="D133" s="507">
        <f>NonQM!T59</f>
        <v>100.5</v>
      </c>
      <c r="E133" s="493"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41" t="str">
        <f>NonQM!S60</f>
        <v>Subord Financing</v>
      </c>
      <c r="C134" s="842"/>
      <c r="D134" s="507">
        <f>NonQM!T60</f>
        <v>100</v>
      </c>
      <c r="E134" s="493" t="str">
        <f>IF(OR(NonQM!U32=S4),D134,"")</f>
        <v/>
      </c>
      <c r="F134"/>
      <c r="G134"/>
      <c r="H134"/>
      <c r="I134" s="845" t="s">
        <v>637</v>
      </c>
      <c r="J134" s="846"/>
      <c r="K134" s="247">
        <f>IF(L134="","",N130)</f>
        <v>0</v>
      </c>
      <c r="L134" s="248">
        <f>IF(N132&gt;E147,E147,N132)</f>
        <v>0</v>
      </c>
      <c r="M134"/>
      <c r="X134"/>
      <c r="Y134"/>
      <c r="Z134"/>
      <c r="AA134"/>
      <c r="AB134"/>
      <c r="AC134"/>
      <c r="AD134"/>
      <c r="AE134"/>
      <c r="AF134"/>
      <c r="AG134"/>
      <c r="AH134"/>
      <c r="AI134"/>
      <c r="AJ134"/>
      <c r="AK134"/>
    </row>
    <row r="135" spans="1:40" ht="15.75" thickBot="1" x14ac:dyDescent="0.3">
      <c r="B135" s="841" t="str">
        <f>NonQM!S61</f>
        <v>No PPP</v>
      </c>
      <c r="C135" s="842"/>
      <c r="D135" s="507">
        <f>NonQM!T61</f>
        <v>100</v>
      </c>
      <c r="E135" s="493" t="str">
        <f>IF(AND(ISNUMBER(MATCH(NonQM!U23,L5:L6,0)),OR(ISNUMBER(MATCH(NonQM!U27,H3:H4,0)),)),D135,"")</f>
        <v/>
      </c>
      <c r="F135"/>
      <c r="G135"/>
      <c r="H135"/>
      <c r="I135" s="850"/>
      <c r="J135" s="851"/>
      <c r="K135" s="249"/>
      <c r="L135" s="250"/>
      <c r="M135"/>
      <c r="X135"/>
      <c r="Y135"/>
      <c r="Z135"/>
      <c r="AA135"/>
      <c r="AB135"/>
      <c r="AC135"/>
      <c r="AD135"/>
      <c r="AE135"/>
      <c r="AF135"/>
      <c r="AG135"/>
      <c r="AH135"/>
      <c r="AI135"/>
      <c r="AJ135"/>
      <c r="AK135"/>
    </row>
    <row r="136" spans="1:40" x14ac:dyDescent="0.25">
      <c r="A136" s="162" t="s">
        <v>638</v>
      </c>
      <c r="B136" s="841" t="str">
        <f>NonQM!S62</f>
        <v>12 Months PPP</v>
      </c>
      <c r="C136" s="842"/>
      <c r="D136" s="507">
        <f>NonQM!T62</f>
        <v>101.5</v>
      </c>
      <c r="E136" s="493"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41" t="str">
        <f>NonQM!S63</f>
        <v>24 Months PPP</v>
      </c>
      <c r="C137" s="842"/>
      <c r="D137" s="506">
        <f>NonQM!T63</f>
        <v>102</v>
      </c>
      <c r="E137" s="493"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41" t="str">
        <f>NonQM!S64</f>
        <v>36-60 Months PPP</v>
      </c>
      <c r="C138" s="842"/>
      <c r="D138" s="506">
        <f>NonQM!T64</f>
        <v>102.5</v>
      </c>
      <c r="E138" s="493"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41" t="str">
        <f>NonQM!S57</f>
        <v>&gt;$2,500,000</v>
      </c>
      <c r="C139" s="842"/>
      <c r="D139" s="506">
        <f>NonQM!T57</f>
        <v>101</v>
      </c>
      <c r="E139" s="493"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41"/>
      <c r="C140" s="842"/>
      <c r="D140" s="506"/>
      <c r="E140" s="493"/>
      <c r="F140"/>
      <c r="G140"/>
      <c r="H140"/>
      <c r="I140"/>
      <c r="J140"/>
      <c r="K140"/>
      <c r="L140"/>
      <c r="M140"/>
    </row>
    <row r="141" spans="1:40" x14ac:dyDescent="0.25">
      <c r="B141" s="841"/>
      <c r="C141" s="842"/>
      <c r="D141" s="506"/>
      <c r="E141" s="493"/>
      <c r="F141"/>
      <c r="G141"/>
      <c r="H141"/>
      <c r="I141"/>
      <c r="J141"/>
      <c r="K141"/>
      <c r="L141"/>
      <c r="M141"/>
    </row>
    <row r="142" spans="1:40" x14ac:dyDescent="0.25">
      <c r="A142" s="162" t="s">
        <v>177</v>
      </c>
      <c r="B142" s="843"/>
      <c r="C142" s="844"/>
      <c r="D142" s="506"/>
      <c r="E142" s="494"/>
      <c r="F142"/>
      <c r="G142"/>
      <c r="H142"/>
      <c r="I142"/>
      <c r="J142"/>
      <c r="K142"/>
      <c r="L142"/>
      <c r="M142"/>
    </row>
    <row r="143" spans="1:40" x14ac:dyDescent="0.25">
      <c r="B143" s="843" t="str">
        <f>NonQM!S66</f>
        <v>NC Floor Price</v>
      </c>
      <c r="C143" s="844"/>
      <c r="D143" s="506">
        <f>NonQM!T66</f>
        <v>99.75</v>
      </c>
      <c r="E143" s="494" t="str" cm="1">
        <f t="array" ref="E143">IF(AND(NonQM!S29=T16,OR(NonQM!S23=L5:L6),NonQM!S27=H3),D143,"")</f>
        <v/>
      </c>
      <c r="F143"/>
      <c r="G143"/>
      <c r="H143"/>
      <c r="I143"/>
      <c r="J143"/>
      <c r="K143"/>
      <c r="L143"/>
      <c r="M143"/>
    </row>
    <row r="144" spans="1:40" x14ac:dyDescent="0.25">
      <c r="B144" s="841"/>
      <c r="C144" s="842"/>
      <c r="D144" s="508"/>
      <c r="E144" s="242"/>
      <c r="F144"/>
      <c r="G144"/>
      <c r="H144"/>
      <c r="I144"/>
      <c r="J144"/>
      <c r="K144"/>
      <c r="L144"/>
      <c r="M144"/>
    </row>
    <row r="145" spans="2:23" x14ac:dyDescent="0.25">
      <c r="B145" s="240"/>
      <c r="C145" s="241"/>
      <c r="D145" s="508"/>
      <c r="E145" s="242"/>
      <c r="F145"/>
      <c r="G145"/>
      <c r="H145"/>
      <c r="I145"/>
      <c r="J145"/>
      <c r="K145"/>
      <c r="L145"/>
      <c r="M145"/>
    </row>
    <row r="146" spans="2:23" ht="15.75" thickBot="1" x14ac:dyDescent="0.3">
      <c r="B146" s="509"/>
      <c r="C146" s="510"/>
      <c r="D146" s="511"/>
      <c r="E146" s="561"/>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3">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3">
        <f>NonQM!T69</f>
        <v>7.375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1"/>
      <c r="F159" s="613" t="s">
        <v>929</v>
      </c>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793" t="s">
        <v>12</v>
      </c>
      <c r="C161" s="794"/>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779</v>
      </c>
      <c r="W161" s="477">
        <v>0</v>
      </c>
    </row>
    <row r="162" spans="2:23" ht="27" x14ac:dyDescent="0.25">
      <c r="B162" s="635" t="s">
        <v>96</v>
      </c>
      <c r="C162" s="636"/>
      <c r="D162" s="636"/>
      <c r="E162" s="636"/>
      <c r="F162" s="636"/>
      <c r="G162" s="636"/>
      <c r="H162" s="636"/>
      <c r="I162" s="636"/>
      <c r="J162" s="636"/>
      <c r="K162" s="636"/>
      <c r="L162" s="637"/>
      <c r="M162"/>
      <c r="N162" s="172" t="s">
        <v>32</v>
      </c>
      <c r="O162" s="382" t="s">
        <v>53</v>
      </c>
      <c r="P162" s="383" t="s">
        <v>51</v>
      </c>
      <c r="Q162" s="383" t="s">
        <v>641</v>
      </c>
      <c r="R162" s="383" t="s">
        <v>642</v>
      </c>
      <c r="T162" s="478" t="s">
        <v>769</v>
      </c>
      <c r="U162" s="478" t="s">
        <v>769</v>
      </c>
      <c r="V162" s="476" t="s">
        <v>780</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f>IF(OR($O$164="", $O$165="", $O$165="Choose a Selection"),0,
   INDEX($D$163:$L$218,
         MATCH($O$165,$B$163:$B$218,0),
         MATCH($O$164,$D$161:$L$161,0)))</f>
        <v>0</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781</v>
      </c>
      <c r="W163" s="477">
        <v>0.25</v>
      </c>
    </row>
    <row r="164" spans="2:23" x14ac:dyDescent="0.25">
      <c r="B164" s="378" t="s">
        <v>239</v>
      </c>
      <c r="C164" s="379"/>
      <c r="D164" s="610">
        <f>NonQM!H51</f>
        <v>0</v>
      </c>
      <c r="E164" s="610">
        <f>NonQM!I51</f>
        <v>0</v>
      </c>
      <c r="F164" s="610">
        <f>NonQM!J51</f>
        <v>-0.125</v>
      </c>
      <c r="G164" s="610">
        <f>NonQM!K51</f>
        <v>-0.375</v>
      </c>
      <c r="H164" s="610">
        <f>NonQM!L51</f>
        <v>-0.375</v>
      </c>
      <c r="I164" s="610">
        <f>NonQM!M51</f>
        <v>-0.375</v>
      </c>
      <c r="J164" s="610">
        <f>NonQM!N51</f>
        <v>-0.375</v>
      </c>
      <c r="K164" s="610">
        <f>NonQM!O51</f>
        <v>-0.5</v>
      </c>
      <c r="L164" s="610" t="e">
        <f>NonQM!P51</f>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Choose a Selection</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t="e">
        <f>IF(OR($R$169="", $R$170="", $R$170="Choose a Selection"),0,
   INDEX($D$163:$L$218,
         MATCH($R$170,$B$163:$B$218,0),
         MATCH($R$169,$D$161:$L$161,0)))</f>
        <v>#N/A</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30 Day</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8"/>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t="e">
        <f>IF(OR($O$176="", $O$177="", $O$177="Choose a Selection"),0,
   INDEX($D$163:$L$218,
         MATCH($O$177,$B$163:$B$218,0),
         MATCH($O$176,$D$161:$L$161,0)))</f>
        <v>#N/A</v>
      </c>
      <c r="P175" s="380">
        <f>IF(OR($P$176="", $P$177="", $P$177="Choose a Selection"),0,
   INDEX($D$163:$L$218,
         MATCH($P$177,$B$163:$B$218,0),
         MATCH($P$176,$D$161:$L$161,0)))</f>
        <v>0</v>
      </c>
      <c r="Q175" s="380">
        <f>IF(OR($Q$176="", $Q$177="",$Q$177="Choose a Selection"),0,
   INDEX($D$163:$L$218,
         MATCH($Q$177,$B$163:$B$218,0),
         MATCH($Q$176,$D$161:$L$161,0)))</f>
        <v>0</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30YR Fixed</v>
      </c>
      <c r="P177" s="381" t="str">
        <f>DSCR!$S$24</f>
        <v>Choose a Selection</v>
      </c>
      <c r="Q177" s="381" t="str">
        <f>NonQM!U32</f>
        <v>Choose a Selection</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t="e">
        <f>IF(OR($R$181="", $R$182="", $R$182="Choose a Selection"),0,
   INDEX($D$163:$L$218,
         MATCH($R$182,$B$163:$B$218,0),
         MATCH($R$181,$D$161:$L$161,0)))</f>
        <v>#N/A</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30 Day</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610">
        <f>NonQM!H72</f>
        <v>0</v>
      </c>
      <c r="E186" s="610">
        <f>NonQM!I72</f>
        <v>0</v>
      </c>
      <c r="F186" s="610">
        <f>NonQM!J72</f>
        <v>0</v>
      </c>
      <c r="G186" s="610">
        <f>NonQM!K72</f>
        <v>0</v>
      </c>
      <c r="H186" s="610">
        <f>NonQM!L72</f>
        <v>0</v>
      </c>
      <c r="I186" s="610">
        <f>NonQM!M72</f>
        <v>0</v>
      </c>
      <c r="J186" s="610">
        <f>NonQM!N72</f>
        <v>0</v>
      </c>
      <c r="K186" s="610">
        <f>NonQM!O72</f>
        <v>-0.25</v>
      </c>
      <c r="L186" s="612">
        <f>NonQM!P72</f>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610">
        <f>NonQM!H75</f>
        <v>-2</v>
      </c>
      <c r="E192" s="610">
        <f>NonQM!I75</f>
        <v>-2</v>
      </c>
      <c r="F192" s="610">
        <f>NonQM!J75</f>
        <v>-2.5</v>
      </c>
      <c r="G192" s="610">
        <f>NonQM!K75</f>
        <v>-2.5</v>
      </c>
      <c r="H192" s="610">
        <f>NonQM!L75</f>
        <v>-2.5</v>
      </c>
      <c r="I192" s="610">
        <f>NonQM!M75</f>
        <v>-2.5</v>
      </c>
      <c r="J192" s="610">
        <f>NonQM!N75</f>
        <v>-2.75</v>
      </c>
      <c r="K192" s="610">
        <f>NonQM!O75</f>
        <v>-3</v>
      </c>
      <c r="L192" s="612" t="e">
        <f>NonQM!P75</f>
        <v>#N/A</v>
      </c>
      <c r="N192"/>
      <c r="O192" s="499"/>
    </row>
    <row r="193" spans="2:16" x14ac:dyDescent="0.25">
      <c r="B193" s="376" t="s">
        <v>161</v>
      </c>
      <c r="C193" s="377"/>
      <c r="D193" s="44">
        <v>-1.5</v>
      </c>
      <c r="E193" s="44">
        <v>-1.5</v>
      </c>
      <c r="F193" s="44">
        <v>-1.5</v>
      </c>
      <c r="G193" s="44">
        <v>-1.5</v>
      </c>
      <c r="H193" s="44">
        <v>-2</v>
      </c>
      <c r="I193" s="44">
        <v>-2</v>
      </c>
      <c r="J193" s="44" t="e">
        <v>#N/A</v>
      </c>
      <c r="K193" s="44" t="e">
        <v>#N/A</v>
      </c>
      <c r="L193" s="45" t="e">
        <v>#N/A</v>
      </c>
      <c r="N193"/>
      <c r="O193" s="499"/>
    </row>
    <row r="194" spans="2:16" x14ac:dyDescent="0.25">
      <c r="B194" s="376" t="s">
        <v>223</v>
      </c>
      <c r="C194" s="377"/>
      <c r="D194" s="44">
        <v>0</v>
      </c>
      <c r="E194" s="44">
        <v>0</v>
      </c>
      <c r="F194" s="44">
        <v>0</v>
      </c>
      <c r="G194" s="44">
        <v>0</v>
      </c>
      <c r="H194" s="44">
        <v>0</v>
      </c>
      <c r="I194" s="44">
        <v>0</v>
      </c>
      <c r="J194" s="44">
        <v>0</v>
      </c>
      <c r="K194" s="44">
        <v>0</v>
      </c>
      <c r="L194" s="45">
        <v>0</v>
      </c>
      <c r="N194"/>
      <c r="O194" s="499"/>
    </row>
    <row r="195" spans="2:16" x14ac:dyDescent="0.25">
      <c r="B195" s="376" t="s">
        <v>232</v>
      </c>
      <c r="C195" s="377"/>
      <c r="D195" s="44">
        <v>0</v>
      </c>
      <c r="E195" s="44">
        <v>0</v>
      </c>
      <c r="F195" s="44">
        <v>0</v>
      </c>
      <c r="G195" s="44">
        <v>0</v>
      </c>
      <c r="H195" s="44">
        <v>0</v>
      </c>
      <c r="I195" s="44">
        <v>0</v>
      </c>
      <c r="J195" s="44">
        <v>0</v>
      </c>
      <c r="K195" s="44">
        <v>0</v>
      </c>
      <c r="L195" s="45">
        <v>0</v>
      </c>
      <c r="N195"/>
      <c r="O195" s="499"/>
      <c r="P195" s="499"/>
    </row>
    <row r="196" spans="2:16" x14ac:dyDescent="0.25">
      <c r="B196" s="376" t="s">
        <v>70</v>
      </c>
      <c r="C196" s="377"/>
      <c r="D196" s="44">
        <v>-0.5</v>
      </c>
      <c r="E196" s="44">
        <v>-0.5</v>
      </c>
      <c r="F196" s="44">
        <v>-0.5</v>
      </c>
      <c r="G196" s="44">
        <v>-0.5</v>
      </c>
      <c r="H196" s="44">
        <v>-0.5</v>
      </c>
      <c r="I196" s="44">
        <v>-0.5</v>
      </c>
      <c r="J196" s="44">
        <v>-0.5</v>
      </c>
      <c r="K196" s="44">
        <v>-0.5</v>
      </c>
      <c r="L196" s="45">
        <v>-0.5</v>
      </c>
      <c r="N196"/>
      <c r="O196" s="499"/>
      <c r="P196" s="499"/>
    </row>
    <row r="197" spans="2:16" x14ac:dyDescent="0.25">
      <c r="B197" s="376" t="s">
        <v>256</v>
      </c>
      <c r="C197" s="377"/>
      <c r="D197" s="44">
        <v>0</v>
      </c>
      <c r="E197" s="44">
        <v>0</v>
      </c>
      <c r="F197" s="44">
        <v>0</v>
      </c>
      <c r="G197" s="44">
        <v>0</v>
      </c>
      <c r="H197" s="44">
        <v>0</v>
      </c>
      <c r="I197" s="44">
        <v>0</v>
      </c>
      <c r="J197" s="44">
        <v>0</v>
      </c>
      <c r="K197" s="44">
        <v>0</v>
      </c>
      <c r="L197" s="45">
        <v>0</v>
      </c>
      <c r="N197"/>
      <c r="O197" s="499"/>
      <c r="P197" s="499"/>
    </row>
    <row r="198" spans="2:16" x14ac:dyDescent="0.25">
      <c r="B198" s="376" t="s">
        <v>259</v>
      </c>
      <c r="C198" s="377"/>
      <c r="D198" s="44">
        <v>0</v>
      </c>
      <c r="E198" s="44">
        <v>0</v>
      </c>
      <c r="F198" s="44">
        <v>0</v>
      </c>
      <c r="G198" s="44">
        <v>0</v>
      </c>
      <c r="H198" s="44">
        <v>0</v>
      </c>
      <c r="I198" s="44">
        <v>0</v>
      </c>
      <c r="J198" s="44">
        <v>0</v>
      </c>
      <c r="K198" s="44">
        <v>0</v>
      </c>
      <c r="L198" s="45">
        <v>0</v>
      </c>
      <c r="N198"/>
      <c r="O198" s="499"/>
      <c r="P198" s="499"/>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895</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0.15</v>
      </c>
      <c r="E215" s="44">
        <v>0.15</v>
      </c>
      <c r="F215" s="44">
        <v>0.15</v>
      </c>
      <c r="G215" s="44">
        <v>0.15</v>
      </c>
      <c r="H215" s="44">
        <v>0.15</v>
      </c>
      <c r="I215" s="44">
        <v>0.15</v>
      </c>
      <c r="J215" s="44">
        <v>0.15</v>
      </c>
      <c r="K215" s="44">
        <v>0.15</v>
      </c>
      <c r="L215" s="44">
        <v>0.15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57" t="s">
        <v>738</v>
      </c>
      <c r="B2" s="858"/>
      <c r="C2" s="858"/>
      <c r="D2" s="859"/>
      <c r="F2" s="888" t="s">
        <v>750</v>
      </c>
      <c r="G2" s="889"/>
      <c r="H2" s="880" t="s">
        <v>743</v>
      </c>
      <c r="I2" s="881"/>
      <c r="K2" s="466"/>
      <c r="L2" s="871"/>
      <c r="M2" s="871"/>
      <c r="O2" s="464"/>
      <c r="P2" s="463"/>
    </row>
    <row r="3" spans="1:16" x14ac:dyDescent="0.25">
      <c r="A3" s="860" t="s">
        <v>737</v>
      </c>
      <c r="B3" s="861"/>
      <c r="C3" s="862" t="s">
        <v>736</v>
      </c>
      <c r="D3" s="863"/>
      <c r="F3" s="890"/>
      <c r="G3" s="891"/>
      <c r="H3" s="874" t="s">
        <v>748</v>
      </c>
      <c r="I3" s="875"/>
      <c r="K3" s="466"/>
      <c r="L3" s="872"/>
      <c r="M3" s="872"/>
      <c r="O3" s="464"/>
      <c r="P3" s="463"/>
    </row>
    <row r="4" spans="1:16" ht="15.75" thickBot="1" x14ac:dyDescent="0.3">
      <c r="A4" s="862" t="s">
        <v>735</v>
      </c>
      <c r="B4" s="863"/>
      <c r="C4" s="860" t="s">
        <v>734</v>
      </c>
      <c r="D4" s="861"/>
      <c r="F4" s="890"/>
      <c r="G4" s="891"/>
      <c r="H4" s="878"/>
      <c r="I4" s="879"/>
      <c r="K4" s="466"/>
      <c r="L4" s="872"/>
      <c r="M4" s="872"/>
      <c r="O4" s="464"/>
      <c r="P4" s="463"/>
    </row>
    <row r="5" spans="1:16" ht="15.75" thickBot="1" x14ac:dyDescent="0.3">
      <c r="A5" s="860" t="s">
        <v>733</v>
      </c>
      <c r="B5" s="861"/>
      <c r="C5" s="862" t="s">
        <v>732</v>
      </c>
      <c r="D5" s="863"/>
      <c r="F5" s="876" t="s">
        <v>751</v>
      </c>
      <c r="G5" s="893"/>
      <c r="H5" s="880" t="s">
        <v>744</v>
      </c>
      <c r="I5" s="881"/>
      <c r="K5" s="466"/>
      <c r="L5" s="871"/>
      <c r="M5" s="871"/>
    </row>
    <row r="6" spans="1:16" ht="15" customHeight="1" x14ac:dyDescent="0.25">
      <c r="A6" s="862" t="s">
        <v>235</v>
      </c>
      <c r="B6" s="863"/>
      <c r="C6" s="860" t="s">
        <v>731</v>
      </c>
      <c r="D6" s="861"/>
      <c r="F6" s="894"/>
      <c r="G6" s="893"/>
      <c r="H6" s="874" t="s">
        <v>746</v>
      </c>
      <c r="I6" s="875"/>
      <c r="K6" s="467"/>
      <c r="L6" s="872"/>
      <c r="M6" s="872"/>
      <c r="O6" s="463"/>
    </row>
    <row r="7" spans="1:16" x14ac:dyDescent="0.25">
      <c r="A7" s="860" t="s">
        <v>730</v>
      </c>
      <c r="B7" s="861"/>
      <c r="C7" s="862" t="s">
        <v>729</v>
      </c>
      <c r="D7" s="863"/>
      <c r="F7" s="876" t="s">
        <v>752</v>
      </c>
      <c r="G7" s="893"/>
      <c r="H7" s="876"/>
      <c r="I7" s="877"/>
      <c r="K7" s="467"/>
      <c r="L7" s="872"/>
      <c r="M7" s="872"/>
      <c r="O7" s="463"/>
    </row>
    <row r="8" spans="1:16" ht="15.75" thickBot="1" x14ac:dyDescent="0.3">
      <c r="A8" s="862" t="s">
        <v>728</v>
      </c>
      <c r="B8" s="863"/>
      <c r="C8" s="860" t="s">
        <v>727</v>
      </c>
      <c r="D8" s="861"/>
      <c r="F8" s="894"/>
      <c r="G8" s="893"/>
      <c r="H8" s="878"/>
      <c r="I8" s="879"/>
      <c r="L8" s="872"/>
      <c r="M8" s="872"/>
      <c r="O8" s="463"/>
    </row>
    <row r="9" spans="1:16" ht="15" customHeight="1" thickBot="1" x14ac:dyDescent="0.3">
      <c r="A9" s="860" t="s">
        <v>726</v>
      </c>
      <c r="B9" s="861"/>
      <c r="C9" s="862" t="s">
        <v>725</v>
      </c>
      <c r="D9" s="863"/>
      <c r="F9" s="876" t="s">
        <v>753</v>
      </c>
      <c r="G9" s="892"/>
      <c r="H9" s="880" t="s">
        <v>745</v>
      </c>
      <c r="I9" s="881"/>
      <c r="K9" s="467"/>
      <c r="L9" s="871"/>
      <c r="M9" s="871"/>
    </row>
    <row r="10" spans="1:16" ht="15.75" thickBot="1" x14ac:dyDescent="0.3">
      <c r="A10" s="862" t="s">
        <v>724</v>
      </c>
      <c r="B10" s="863"/>
      <c r="C10" s="860" t="s">
        <v>723</v>
      </c>
      <c r="D10" s="861"/>
      <c r="F10" s="876"/>
      <c r="G10" s="892"/>
      <c r="H10" s="882" t="s">
        <v>747</v>
      </c>
      <c r="I10" s="883"/>
      <c r="K10" s="467"/>
      <c r="L10" s="873"/>
      <c r="M10" s="873"/>
    </row>
    <row r="11" spans="1:16" x14ac:dyDescent="0.25">
      <c r="A11" s="860" t="s">
        <v>722</v>
      </c>
      <c r="B11" s="861"/>
      <c r="C11" s="862" t="s">
        <v>721</v>
      </c>
      <c r="D11" s="863"/>
      <c r="F11" s="876" t="s">
        <v>754</v>
      </c>
      <c r="G11" s="895"/>
      <c r="I11" s="465"/>
    </row>
    <row r="12" spans="1:16" ht="15" customHeight="1" x14ac:dyDescent="0.25">
      <c r="A12" s="862" t="s">
        <v>720</v>
      </c>
      <c r="B12" s="863"/>
      <c r="C12" s="860" t="s">
        <v>719</v>
      </c>
      <c r="D12" s="861"/>
      <c r="F12" s="894"/>
      <c r="G12" s="895"/>
      <c r="H12" s="467"/>
      <c r="I12" s="467"/>
      <c r="J12" s="467"/>
      <c r="K12" s="467"/>
    </row>
    <row r="13" spans="1:16" ht="15.75" thickBot="1" x14ac:dyDescent="0.3">
      <c r="A13" s="860" t="s">
        <v>718</v>
      </c>
      <c r="B13" s="861"/>
      <c r="C13" s="862" t="s">
        <v>717</v>
      </c>
      <c r="D13" s="863"/>
      <c r="F13" s="896"/>
      <c r="G13" s="897"/>
      <c r="H13" s="467"/>
      <c r="I13" s="467"/>
      <c r="K13" s="467"/>
    </row>
    <row r="14" spans="1:16" ht="15.75" thickBot="1" x14ac:dyDescent="0.3">
      <c r="A14" s="862" t="s">
        <v>716</v>
      </c>
      <c r="B14" s="863"/>
      <c r="C14" s="860" t="s">
        <v>715</v>
      </c>
      <c r="D14" s="861"/>
    </row>
    <row r="15" spans="1:16" ht="15.75" thickBot="1" x14ac:dyDescent="0.3">
      <c r="A15" s="860" t="s">
        <v>714</v>
      </c>
      <c r="B15" s="861"/>
      <c r="C15" s="862" t="s">
        <v>713</v>
      </c>
      <c r="D15" s="863"/>
      <c r="F15" s="884" t="s">
        <v>749</v>
      </c>
      <c r="G15" s="885"/>
      <c r="H15"/>
      <c r="I15"/>
      <c r="J15" s="465"/>
      <c r="K15" s="465"/>
    </row>
    <row r="16" spans="1:16" ht="15" customHeight="1" x14ac:dyDescent="0.25">
      <c r="A16" s="862" t="s">
        <v>712</v>
      </c>
      <c r="B16" s="863"/>
      <c r="C16" s="860" t="s">
        <v>711</v>
      </c>
      <c r="D16" s="861"/>
      <c r="F16" s="898" t="s">
        <v>755</v>
      </c>
      <c r="G16" s="899"/>
      <c r="H16"/>
      <c r="I16"/>
      <c r="J16" s="467"/>
    </row>
    <row r="17" spans="1:16" ht="15" customHeight="1" x14ac:dyDescent="0.25">
      <c r="A17" s="860" t="s">
        <v>710</v>
      </c>
      <c r="B17" s="861"/>
      <c r="C17" s="862" t="s">
        <v>709</v>
      </c>
      <c r="D17" s="863"/>
      <c r="F17" s="894"/>
      <c r="G17" s="895"/>
      <c r="H17"/>
      <c r="I17"/>
      <c r="J17" s="467"/>
      <c r="K17" s="467"/>
      <c r="L17" s="467"/>
      <c r="M17" s="467"/>
      <c r="P17" s="463"/>
    </row>
    <row r="18" spans="1:16" x14ac:dyDescent="0.25">
      <c r="A18" s="862" t="s">
        <v>708</v>
      </c>
      <c r="B18" s="863"/>
      <c r="C18" s="860" t="s">
        <v>707</v>
      </c>
      <c r="D18" s="861"/>
      <c r="F18" s="894"/>
      <c r="G18" s="895"/>
      <c r="H18"/>
      <c r="I18"/>
      <c r="J18" s="467"/>
      <c r="K18" s="467"/>
      <c r="L18" s="467"/>
      <c r="M18" s="467"/>
      <c r="P18" s="463"/>
    </row>
    <row r="19" spans="1:16" x14ac:dyDescent="0.25">
      <c r="A19" s="860" t="s">
        <v>706</v>
      </c>
      <c r="B19" s="861"/>
      <c r="C19" s="862" t="s">
        <v>705</v>
      </c>
      <c r="D19" s="863"/>
      <c r="F19" s="894"/>
      <c r="G19" s="895"/>
      <c r="H19"/>
      <c r="I19"/>
      <c r="J19" s="467"/>
      <c r="K19" s="467"/>
      <c r="L19" s="467"/>
      <c r="M19" s="467"/>
      <c r="P19" s="463"/>
    </row>
    <row r="20" spans="1:16" x14ac:dyDescent="0.25">
      <c r="A20" s="862" t="s">
        <v>704</v>
      </c>
      <c r="B20" s="863"/>
      <c r="C20" s="860" t="s">
        <v>703</v>
      </c>
      <c r="D20" s="861"/>
      <c r="F20" s="894"/>
      <c r="G20" s="895"/>
      <c r="H20"/>
      <c r="I20"/>
      <c r="J20" s="467"/>
      <c r="K20" s="467"/>
      <c r="L20" s="467"/>
      <c r="M20" s="467"/>
      <c r="P20" s="463"/>
    </row>
    <row r="21" spans="1:16" x14ac:dyDescent="0.25">
      <c r="A21" s="860" t="s">
        <v>702</v>
      </c>
      <c r="B21" s="861"/>
      <c r="C21" s="862" t="s">
        <v>701</v>
      </c>
      <c r="D21" s="863"/>
      <c r="F21" s="876" t="s">
        <v>756</v>
      </c>
      <c r="G21" s="895"/>
      <c r="H21"/>
      <c r="I21"/>
      <c r="J21" s="467"/>
      <c r="K21" s="467"/>
      <c r="L21" s="467"/>
      <c r="M21" s="467"/>
    </row>
    <row r="22" spans="1:16" x14ac:dyDescent="0.25">
      <c r="A22" s="857" t="s">
        <v>700</v>
      </c>
      <c r="B22" s="858"/>
      <c r="C22" s="858"/>
      <c r="D22" s="859"/>
      <c r="F22" s="894"/>
      <c r="G22" s="895"/>
      <c r="H22"/>
      <c r="I22"/>
      <c r="P22" s="463"/>
    </row>
    <row r="23" spans="1:16" ht="15" customHeight="1" x14ac:dyDescent="0.25">
      <c r="A23" s="869" t="s">
        <v>699</v>
      </c>
      <c r="B23" s="870"/>
      <c r="C23" s="862" t="s">
        <v>698</v>
      </c>
      <c r="D23" s="863"/>
      <c r="F23" s="894"/>
      <c r="G23" s="895"/>
      <c r="H23"/>
      <c r="I23"/>
      <c r="J23" s="467"/>
      <c r="K23" s="467"/>
      <c r="L23" s="467"/>
      <c r="M23" s="467"/>
      <c r="P23" s="463"/>
    </row>
    <row r="24" spans="1:16" x14ac:dyDescent="0.25">
      <c r="A24" s="862" t="s">
        <v>697</v>
      </c>
      <c r="B24" s="863"/>
      <c r="C24" s="860" t="s">
        <v>247</v>
      </c>
      <c r="D24" s="861"/>
      <c r="F24" s="894"/>
      <c r="G24" s="895"/>
      <c r="H24"/>
      <c r="I24"/>
      <c r="J24" s="467"/>
      <c r="K24" s="467"/>
      <c r="L24" s="467"/>
      <c r="M24" s="467"/>
      <c r="P24" s="463"/>
    </row>
    <row r="25" spans="1:16" x14ac:dyDescent="0.25">
      <c r="A25" s="860" t="s">
        <v>696</v>
      </c>
      <c r="B25" s="861"/>
      <c r="C25" s="864"/>
      <c r="D25" s="865"/>
      <c r="F25" s="894"/>
      <c r="G25" s="895"/>
      <c r="H25"/>
      <c r="I25"/>
      <c r="J25" s="467"/>
      <c r="K25" s="467"/>
      <c r="L25" s="467"/>
      <c r="M25" s="467"/>
      <c r="P25" s="463"/>
    </row>
    <row r="26" spans="1:16" x14ac:dyDescent="0.25">
      <c r="A26" s="857" t="s">
        <v>695</v>
      </c>
      <c r="B26" s="858"/>
      <c r="C26" s="858"/>
      <c r="D26" s="859"/>
      <c r="F26" s="876" t="s">
        <v>757</v>
      </c>
      <c r="G26" s="877"/>
      <c r="H26" s="467"/>
      <c r="I26" s="467"/>
      <c r="J26" s="467"/>
      <c r="K26" s="467"/>
      <c r="L26" s="467"/>
      <c r="M26" s="467"/>
      <c r="P26" s="463"/>
    </row>
    <row r="27" spans="1:16" x14ac:dyDescent="0.25">
      <c r="A27" s="459" t="s">
        <v>694</v>
      </c>
      <c r="B27" s="459" t="s">
        <v>693</v>
      </c>
      <c r="C27" s="459" t="s">
        <v>692</v>
      </c>
      <c r="D27" s="459" t="s">
        <v>691</v>
      </c>
      <c r="F27" s="876"/>
      <c r="G27" s="877"/>
      <c r="H27" s="467"/>
      <c r="I27" s="467"/>
      <c r="J27" s="467"/>
      <c r="K27" s="467"/>
      <c r="L27" s="467"/>
      <c r="M27" s="467"/>
    </row>
    <row r="28" spans="1:16" ht="90" x14ac:dyDescent="0.25">
      <c r="A28" s="454" t="s">
        <v>690</v>
      </c>
      <c r="B28" s="458" t="s">
        <v>689</v>
      </c>
      <c r="C28" s="453" t="s">
        <v>673</v>
      </c>
      <c r="D28" s="453" t="s">
        <v>688</v>
      </c>
      <c r="F28" s="876"/>
      <c r="G28" s="877"/>
    </row>
    <row r="29" spans="1:16" ht="75.75" thickBot="1" x14ac:dyDescent="0.3">
      <c r="A29" s="457" t="s">
        <v>241</v>
      </c>
      <c r="B29" s="455" t="s">
        <v>684</v>
      </c>
      <c r="C29" s="455" t="s">
        <v>687</v>
      </c>
      <c r="D29" s="455" t="s">
        <v>686</v>
      </c>
      <c r="F29" s="886" t="s">
        <v>758</v>
      </c>
      <c r="G29" s="887"/>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66" t="s">
        <v>667</v>
      </c>
      <c r="B35" s="867"/>
      <c r="C35" s="867"/>
      <c r="D35" s="868"/>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7"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8"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8"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8"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8"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895</v>
      </c>
      <c r="U5" s="395"/>
      <c r="V5" s="426"/>
      <c r="W5" s="424"/>
      <c r="Y5" s="176" t="s">
        <v>226</v>
      </c>
      <c r="Z5"/>
      <c r="AA5"/>
      <c r="AB5"/>
      <c r="AC5" s="174" t="s">
        <v>228</v>
      </c>
      <c r="AD5"/>
      <c r="AE5"/>
    </row>
    <row r="6" spans="1:31" x14ac:dyDescent="0.25">
      <c r="A6" s="172" t="s">
        <v>30</v>
      </c>
      <c r="B6" s="172" t="s">
        <v>16</v>
      </c>
      <c r="C6" s="172" t="s">
        <v>236</v>
      </c>
      <c r="E6" s="498"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8"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8"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8"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8"/>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8"/>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8"/>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8"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8"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9"/>
      <c r="F22"/>
      <c r="G22"/>
      <c r="I22"/>
      <c r="J22"/>
      <c r="S22"/>
      <c r="U22"/>
      <c r="V22"/>
      <c r="W22"/>
      <c r="X22"/>
      <c r="Y22"/>
      <c r="Z22"/>
      <c r="AA22"/>
      <c r="AB22"/>
      <c r="AC22" s="174" t="s">
        <v>228</v>
      </c>
    </row>
    <row r="23" spans="1:29" x14ac:dyDescent="0.25">
      <c r="E23" s="499"/>
      <c r="F23"/>
      <c r="G23"/>
      <c r="J23"/>
      <c r="S23"/>
      <c r="U23"/>
      <c r="V23"/>
      <c r="W23"/>
      <c r="X23"/>
      <c r="Y23"/>
      <c r="Z23"/>
      <c r="AA23"/>
      <c r="AB23"/>
      <c r="AC23" s="174" t="s">
        <v>228</v>
      </c>
    </row>
    <row r="24" spans="1:29" x14ac:dyDescent="0.25">
      <c r="E24" s="499"/>
      <c r="F24"/>
      <c r="G24"/>
      <c r="J24"/>
      <c r="S24"/>
      <c r="U24"/>
      <c r="V24"/>
      <c r="W24"/>
      <c r="X24"/>
      <c r="Y24"/>
      <c r="Z24"/>
      <c r="AA24"/>
      <c r="AB24"/>
      <c r="AC24" s="174" t="s">
        <v>228</v>
      </c>
    </row>
    <row r="25" spans="1:29" x14ac:dyDescent="0.25">
      <c r="E25" s="499"/>
      <c r="F25"/>
      <c r="G25"/>
      <c r="J25"/>
      <c r="P25"/>
      <c r="S25"/>
      <c r="U25"/>
      <c r="V25"/>
      <c r="W25"/>
      <c r="X25"/>
      <c r="Y25"/>
      <c r="Z25"/>
      <c r="AA25"/>
      <c r="AB25"/>
      <c r="AC25" s="174" t="s">
        <v>228</v>
      </c>
    </row>
    <row r="26" spans="1:29" x14ac:dyDescent="0.25">
      <c r="E26" s="499"/>
      <c r="F26"/>
      <c r="G26"/>
      <c r="J26"/>
      <c r="S26"/>
      <c r="U26"/>
      <c r="V26"/>
      <c r="W26"/>
      <c r="X26"/>
      <c r="Y26"/>
      <c r="Z26"/>
      <c r="AA26"/>
      <c r="AB26"/>
      <c r="AC26" s="174" t="s">
        <v>228</v>
      </c>
    </row>
    <row r="27" spans="1:29" x14ac:dyDescent="0.25">
      <c r="E27" s="499"/>
      <c r="F27"/>
      <c r="G27"/>
      <c r="I27" s="190"/>
      <c r="S27"/>
      <c r="U27"/>
      <c r="V27"/>
      <c r="W27"/>
      <c r="X27"/>
      <c r="Y27"/>
      <c r="Z27"/>
      <c r="AA27"/>
      <c r="AB27"/>
      <c r="AC27" s="174" t="s">
        <v>228</v>
      </c>
    </row>
    <row r="28" spans="1:29" x14ac:dyDescent="0.25">
      <c r="E28" s="499"/>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605" t="s">
        <v>276</v>
      </c>
      <c r="AH37" s="604"/>
      <c r="AI37" s="604"/>
      <c r="AJ37"/>
      <c r="AK37" s="605" t="s">
        <v>277</v>
      </c>
      <c r="AL37" s="604"/>
      <c r="AM37" s="604"/>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IF(AND(ISNUMBER(MATCH(DSCR!$S$12, $A$10:$A$12, 0)),ISNUMBER(MATCH(DSCR!$S$11, $B$8:$B$11, 0)),ISNUMBER(MATCH(DSCR!$S$20, $G$4:$G$5, 0)),ISNUMBER(MATCH(DSCR!$S$13, $C$6:$C$7, 0)),ISNUMBER(MATCH(DSCR!$S$21,$J$7,0))),NA(),"")</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IF(AND(ISNUMBER(MATCH(DSCR!$S$12, $A$11:$A$12, 0)),ISNUMBER(MATCH(DSCR!$S$11, $B$7:$B$11, 0)),ISNUMBER(MATCH(DSCR!$S$21, $J$6:$J$7, 0)),ISNUMBER(MATCH(DSCR!$S$13, $C$6:$C$7, 0)),ISNUMBER(MATCH(DSCR!$S$20,$G$5,0))),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t="s">
        <v>935</v>
      </c>
      <c r="AL40" s="361" t="str">
        <f>IF(AND(ISNUMBER(MATCH(DSCR!$S$12, $A$7:$A$12, 0)),ISNUMBER(MATCH(DSCR!$S$11, $B$9:$B$11, 0)),ISNUMBER(MATCH(DSCR!$S$21, $J$5:$J$7, 0)),ISNUMBER(MATCH(DSCR!$S$13, $C$6:$C$7, 0)),ISNUMBER(MATCH(DSCR!$S$20,$G$5:$G$12,0))), NA(), "")</f>
        <v/>
      </c>
      <c r="AM40" t="s">
        <v>936</v>
      </c>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923</v>
      </c>
      <c r="AL41" s="361" t="str">
        <f>IF(AND(ISNUMBER(MATCH(DSCR!$S$12,$A$3:$A$5,0)),ISNUMBER(MATCH(DSCR!$S$11,$B$9:$B$11,0)),ISNUMBER(MATCH(DSCR!$S$21,$J$5,0)),ISNUMBER(MATCH(DSCR!$S$13,$C$6:$C$7,0)),ISNUMBER(MATCH(DSCR!$S$20,$G$8,0))),NA(),"")</f>
        <v/>
      </c>
      <c r="AM41" t="s">
        <v>924</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923</v>
      </c>
      <c r="AL42" s="361" t="str">
        <f>IF(AND(ISNUMBER(MATCH(DSCR!$S$12,$A$3:$A$5,0)),ISNUMBER(MATCH(DSCR!$S$11,$B$9:$B$11,0)),ISNUMBER(MATCH(DSCR!$S$21,$J$5,0)),ISNUMBER(MATCH(DSCR!$S$13,$C$6:$C$7,0)),ISNUMBER(MATCH(DSCR!$S$20,$G$9,0))),NA(),"")</f>
        <v/>
      </c>
      <c r="AM42" t="s">
        <v>925</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923</v>
      </c>
      <c r="AL43" s="361" t="str">
        <f>IF(AND(ISNUMBER(MATCH(DSCR!$S$12,$A$3:$A$5,0)),ISNUMBER(MATCH(DSCR!$S$11,$B$8:$B$11,0)),ISNUMBER(MATCH(DSCR!$S$21,$J$5,0)),ISNUMBER(MATCH(DSCR!$S$13,$C$6:$C$7,0)),ISNUMBER(MATCH(DSCR!$S$20,$G$10,0))),NA(),"")</f>
        <v/>
      </c>
      <c r="AM43" t="s">
        <v>926</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923</v>
      </c>
      <c r="AL44" s="361" t="str">
        <f>IF(AND(ISNUMBER(MATCH(DSCR!$S$12,$A$3:$A$5,0)),ISNUMBER(MATCH(DSCR!$S$11,$B$6:$B$11,0)),ISNUMBER(MATCH(DSCR!$S$21,$J$5,0)),ISNUMBER(MATCH(DSCR!$S$13,$C$6:$C$7,0)),ISNUMBER(MATCH(DSCR!$S$20,$G$11:$G$12,0))),NA(),"")</f>
        <v/>
      </c>
      <c r="AM44" t="s">
        <v>927</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t="s">
        <v>931</v>
      </c>
      <c r="AL45" s="361" t="str">
        <f>IF(AND(ISNUMBER(MATCH(DSCR!$S$12,$A$3:$A$12,0)),ISNUMBER(MATCH(DSCR!$S$11,$B$8:$B$11,0)),ISNUMBER(MATCH(DSCR!$S$21,$J$5,0)),ISNUMBER(MATCH(DSCR!$S$13,$C$10,0)),ISNUMBER(MATCH(DSCR!$S$20,$G$3:$G$12,0))),NA(),"")</f>
        <v/>
      </c>
      <c r="AM45" t="s">
        <v>930</v>
      </c>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93"/>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8"/>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8"/>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8"/>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823</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822</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823</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602"/>
      <c r="AH57" s="603"/>
      <c r="AI57" s="603"/>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604"/>
      <c r="AI65" s="604"/>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78">
        <f>SUM(B39:B66)+SUM(G38:G76)+SUM(M38:M77)+SUM(R38:R82)+SUM(AH38:AH113)+SUM(Z37:Z125)+SUM(V37:V92)+SUM(AL38:AL45)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801</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894</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1"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5" t="s">
        <v>619</v>
      </c>
      <c r="C80" s="856"/>
      <c r="D80" s="856"/>
      <c r="E80" s="856"/>
      <c r="F80"/>
      <c r="I80" s="847" t="s">
        <v>619</v>
      </c>
      <c r="J80" s="848"/>
      <c r="K80" s="848"/>
      <c r="L80" s="849"/>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5.99</v>
      </c>
      <c r="C82" s="210"/>
      <c r="D82" s="210"/>
      <c r="E82" s="211">
        <f>DSCR!C11</f>
        <v>96.987999999999985</v>
      </c>
      <c r="F82" s="211" t="e">
        <f>DSCR!D11</f>
        <v>#N/A</v>
      </c>
      <c r="G82" s="212" t="e">
        <f>SUM(DSCR!T12:T35)+B67</f>
        <v>#N/A</v>
      </c>
      <c r="H82" s="213">
        <v>1</v>
      </c>
      <c r="I82" s="214">
        <f t="shared" ref="I82:I124" si="0">B82</f>
        <v>5.99</v>
      </c>
      <c r="J82" s="215"/>
      <c r="K82" s="215"/>
      <c r="L82" s="216" t="e">
        <f t="shared" ref="L82:M84" si="1">E82+$G$82</f>
        <v>#N/A</v>
      </c>
      <c r="M82" s="216" t="e">
        <f t="shared" si="1"/>
        <v>#N/A</v>
      </c>
      <c r="N82" s="399" cm="1">
        <f t="array" ref="N82:N124">I82:I124</f>
        <v>5.99</v>
      </c>
      <c r="Q82" s="601" t="s">
        <v>624</v>
      </c>
      <c r="R82" s="223" t="str" cm="1">
        <f t="array" ref="R82">IF(AND(
   ISNUMBER(MATCH(DSCR!$S$12, $A$3:$A$12, 0)),
   ISNUMBER(MATCH(DSCR!$S$11, $B$8:$B$11, 0)),
   ISNUMBER(MATCH(DSCR!$S$21, $J$5, 0)),
   ISNUMBER(MATCH(DSCR!$S$21, $J$7, 0)),
   ISNUMBER(MATCH(DSCR!$S$20, $G$5:$G$6, 0)),
   ISNUMBER(MATCH(DSCR!$S$13 = $C$6:$C$7, 0)),
   DSCR!$S$18 = $E$9
), NA(), "")</f>
        <v/>
      </c>
      <c r="S82" s="601" t="s">
        <v>625</v>
      </c>
      <c r="AH82" s="174"/>
      <c r="AJ82" s="174"/>
      <c r="AK82" s="174"/>
      <c r="AL82" s="174"/>
      <c r="AM82" s="174"/>
      <c r="AN82" s="174"/>
      <c r="AO82" s="174"/>
      <c r="AP82" s="174"/>
    </row>
    <row r="83" spans="2:48" x14ac:dyDescent="0.25">
      <c r="B83" s="217">
        <f>DSCR!B12</f>
        <v>6.125</v>
      </c>
      <c r="C83" s="218"/>
      <c r="D83" s="218"/>
      <c r="E83" s="219">
        <f>DSCR!C12</f>
        <v>97.61250000000004</v>
      </c>
      <c r="F83" s="219" t="e">
        <f>DSCR!D12</f>
        <v>#N/A</v>
      </c>
      <c r="G83" s="162" t="s">
        <v>626</v>
      </c>
      <c r="H83" s="213">
        <v>2</v>
      </c>
      <c r="I83" s="220">
        <f t="shared" si="0"/>
        <v>6.125</v>
      </c>
      <c r="J83" s="221"/>
      <c r="K83" s="221"/>
      <c r="L83" s="222" t="e">
        <f t="shared" si="1"/>
        <v>#N/A</v>
      </c>
      <c r="M83" s="222" t="e">
        <f t="shared" si="1"/>
        <v>#N/A</v>
      </c>
      <c r="N83" s="399">
        <v>6.125</v>
      </c>
      <c r="AH83" s="174"/>
      <c r="AJ83" s="174"/>
      <c r="AK83" s="174"/>
      <c r="AL83" s="174"/>
      <c r="AM83" s="174"/>
      <c r="AN83" s="174"/>
      <c r="AO83" s="174"/>
      <c r="AP83" s="174"/>
    </row>
    <row r="84" spans="2:48" ht="15.75" thickBot="1" x14ac:dyDescent="0.3">
      <c r="B84" s="217">
        <f>DSCR!B13</f>
        <v>6.25</v>
      </c>
      <c r="C84" s="218"/>
      <c r="D84" s="218"/>
      <c r="E84" s="219">
        <f>DSCR!C13</f>
        <v>98.05000000000004</v>
      </c>
      <c r="F84" s="219" t="e">
        <f>DSCR!D13</f>
        <v>#N/A</v>
      </c>
      <c r="G84" s="162" t="s">
        <v>627</v>
      </c>
      <c r="H84" s="213">
        <v>3</v>
      </c>
      <c r="I84" s="220">
        <f t="shared" si="0"/>
        <v>6.25</v>
      </c>
      <c r="J84" s="221"/>
      <c r="K84" s="221"/>
      <c r="L84" s="222" t="e">
        <f t="shared" si="1"/>
        <v>#N/A</v>
      </c>
      <c r="M84" s="222" t="e">
        <f t="shared" si="1"/>
        <v>#N/A</v>
      </c>
      <c r="N84" s="399">
        <v>6.25</v>
      </c>
      <c r="AG84" s="606" t="s">
        <v>652</v>
      </c>
      <c r="AH84" s="608"/>
      <c r="AI84" s="607"/>
      <c r="AJ84" s="174"/>
      <c r="AK84" s="174"/>
      <c r="AL84" s="174"/>
      <c r="AM84" s="174"/>
      <c r="AN84" s="174"/>
      <c r="AO84" s="174"/>
      <c r="AP84" s="174"/>
    </row>
    <row r="85" spans="2:48" x14ac:dyDescent="0.25">
      <c r="B85" s="217">
        <f>DSCR!B14</f>
        <v>6.375</v>
      </c>
      <c r="C85" s="218"/>
      <c r="D85" s="218"/>
      <c r="E85" s="219">
        <f>DSCR!C14</f>
        <v>98.425500000000042</v>
      </c>
      <c r="F85" s="219" t="e">
        <f>DSCR!D14</f>
        <v>#N/A</v>
      </c>
      <c r="G85" s="212" t="e">
        <f>DSCR!T40</f>
        <v>#N/A</v>
      </c>
      <c r="H85" s="213">
        <v>4</v>
      </c>
      <c r="I85" s="220">
        <f t="shared" si="0"/>
        <v>6.375</v>
      </c>
      <c r="J85" s="221"/>
      <c r="K85" s="221"/>
      <c r="L85" s="222" t="e">
        <f>E85+$G$82</f>
        <v>#N/A</v>
      </c>
      <c r="M85" s="222" t="e">
        <f>F85+$G$82</f>
        <v>#N/A</v>
      </c>
      <c r="N85" s="399">
        <v>6.375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6.4989999999999997</v>
      </c>
      <c r="C86" s="218"/>
      <c r="D86" s="218"/>
      <c r="E86" s="219">
        <f>DSCR!C15</f>
        <v>98.925500000000042</v>
      </c>
      <c r="F86" s="219" t="e">
        <f>DSCR!D15</f>
        <v>#N/A</v>
      </c>
      <c r="H86" s="213">
        <v>5</v>
      </c>
      <c r="I86" s="220">
        <f t="shared" si="0"/>
        <v>6.4989999999999997</v>
      </c>
      <c r="J86" s="221"/>
      <c r="K86" s="221"/>
      <c r="L86" s="222" t="e">
        <f t="shared" ref="L86:L124" si="2">E86+$G$82</f>
        <v>#N/A</v>
      </c>
      <c r="M86" s="222" t="e">
        <f t="shared" ref="M86:M124" si="3">F86+$G$82</f>
        <v>#N/A</v>
      </c>
      <c r="N86" s="399">
        <v>6.4989999999999997</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6.625</v>
      </c>
      <c r="C87" s="218"/>
      <c r="D87" s="218"/>
      <c r="E87" s="219">
        <f>DSCR!C16</f>
        <v>99.393500000000046</v>
      </c>
      <c r="F87" s="219" t="e">
        <f>DSCR!D16</f>
        <v>#N/A</v>
      </c>
      <c r="H87" s="213">
        <v>6</v>
      </c>
      <c r="I87" s="220">
        <f t="shared" si="0"/>
        <v>6.625</v>
      </c>
      <c r="J87" s="221"/>
      <c r="K87" s="221"/>
      <c r="L87" s="222" t="e">
        <f t="shared" si="2"/>
        <v>#N/A</v>
      </c>
      <c r="M87" s="222" t="e">
        <f t="shared" si="3"/>
        <v>#N/A</v>
      </c>
      <c r="N87" s="399">
        <v>6.625</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6.75</v>
      </c>
      <c r="C88" s="218"/>
      <c r="D88" s="218"/>
      <c r="E88" s="219">
        <f>DSCR!C17</f>
        <v>99.831500000000034</v>
      </c>
      <c r="F88" s="219" t="e">
        <f>DSCR!D17</f>
        <v>#N/A</v>
      </c>
      <c r="H88" s="213">
        <v>7</v>
      </c>
      <c r="I88" s="220">
        <f t="shared" si="0"/>
        <v>6.75</v>
      </c>
      <c r="J88" s="221"/>
      <c r="K88" s="221"/>
      <c r="L88" s="222" t="e">
        <f t="shared" si="2"/>
        <v>#N/A</v>
      </c>
      <c r="M88" s="222" t="e">
        <f t="shared" si="3"/>
        <v>#N/A</v>
      </c>
      <c r="N88" s="399">
        <v>6.75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6.875</v>
      </c>
      <c r="C89" s="218"/>
      <c r="D89" s="218"/>
      <c r="E89" s="219">
        <f>DSCR!C18</f>
        <v>100.25350000000005</v>
      </c>
      <c r="F89" s="219" t="e">
        <f>DSCR!D18</f>
        <v>#N/A</v>
      </c>
      <c r="G89" s="162" t="str">
        <f>DSCR!S17</f>
        <v>DSCR</v>
      </c>
      <c r="H89" s="213">
        <v>8</v>
      </c>
      <c r="I89" s="220">
        <f t="shared" si="0"/>
        <v>6.875</v>
      </c>
      <c r="J89" s="221"/>
      <c r="K89" s="221"/>
      <c r="L89" s="222" t="e">
        <f t="shared" si="2"/>
        <v>#N/A</v>
      </c>
      <c r="M89" s="222" t="e">
        <f t="shared" si="3"/>
        <v>#N/A</v>
      </c>
      <c r="N89" s="399">
        <v>6.875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6.9989999999999997</v>
      </c>
      <c r="C90" s="218"/>
      <c r="D90" s="218"/>
      <c r="E90" s="219">
        <f>DSCR!C19</f>
        <v>100.65950000000004</v>
      </c>
      <c r="F90" s="219" t="e">
        <f>DSCR!D19</f>
        <v>#N/A</v>
      </c>
      <c r="G90" s="162" t="str">
        <f>IF(DSCR!S24="DSCR 5-8", "DSCR 5-8", "")</f>
        <v/>
      </c>
      <c r="H90" s="213">
        <v>9</v>
      </c>
      <c r="I90" s="220">
        <f t="shared" si="0"/>
        <v>6.9989999999999997</v>
      </c>
      <c r="J90" s="221"/>
      <c r="K90" s="221"/>
      <c r="L90" s="222" t="e">
        <f t="shared" si="2"/>
        <v>#N/A</v>
      </c>
      <c r="M90" s="222" t="e">
        <f t="shared" si="3"/>
        <v>#N/A</v>
      </c>
      <c r="N90" s="399">
        <v>6.9989999999999997</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7.125</v>
      </c>
      <c r="C91" s="218"/>
      <c r="D91" s="218"/>
      <c r="E91" s="219">
        <f>DSCR!C20</f>
        <v>101.03450000000004</v>
      </c>
      <c r="F91" s="219" t="e">
        <f>DSCR!D20</f>
        <v>#N/A</v>
      </c>
      <c r="G91" s="162" t="str">
        <f>IF(DSCR!S24="DSCR 5-8", "DSCR 5-8", "")</f>
        <v/>
      </c>
      <c r="H91" s="213">
        <v>10</v>
      </c>
      <c r="I91" s="220">
        <f t="shared" si="0"/>
        <v>7.125</v>
      </c>
      <c r="J91" s="221"/>
      <c r="K91" s="221"/>
      <c r="L91" s="222" t="e">
        <f t="shared" si="2"/>
        <v>#N/A</v>
      </c>
      <c r="M91" s="222" t="e">
        <f t="shared" si="3"/>
        <v>#N/A</v>
      </c>
      <c r="N91" s="399">
        <v>7.125</v>
      </c>
      <c r="P91" s="212"/>
      <c r="Y91" s="397" t="s">
        <v>273</v>
      </c>
      <c r="Z91" s="397"/>
      <c r="AA91" s="397" t="s">
        <v>318</v>
      </c>
      <c r="AG91" s="425"/>
      <c r="AH91" s="174"/>
      <c r="AI91" s="174"/>
      <c r="AJ91" s="174"/>
      <c r="AK91" s="174"/>
      <c r="AL91" s="174"/>
      <c r="AM91" s="174"/>
      <c r="AN91" s="174"/>
      <c r="AO91" s="174"/>
      <c r="AP91" s="174"/>
    </row>
    <row r="92" spans="2:48" x14ac:dyDescent="0.25">
      <c r="B92" s="217">
        <f>DSCR!B21</f>
        <v>7.25</v>
      </c>
      <c r="C92" s="218"/>
      <c r="D92" s="218"/>
      <c r="E92" s="219">
        <f>DSCR!C21</f>
        <v>101.40950000000004</v>
      </c>
      <c r="F92" s="219">
        <f>DSCR!D21</f>
        <v>97.35</v>
      </c>
      <c r="H92" s="213">
        <v>11</v>
      </c>
      <c r="I92" s="220">
        <f t="shared" si="0"/>
        <v>7.25</v>
      </c>
      <c r="J92" s="221"/>
      <c r="K92" s="221"/>
      <c r="L92" s="222" t="e">
        <f t="shared" si="2"/>
        <v>#N/A</v>
      </c>
      <c r="M92" s="222" t="e">
        <f t="shared" si="3"/>
        <v>#N/A</v>
      </c>
      <c r="N92" s="399">
        <v>7.25</v>
      </c>
      <c r="P92" s="212"/>
      <c r="Y92" s="397" t="s">
        <v>273</v>
      </c>
      <c r="Z92" s="397"/>
      <c r="AA92" s="397" t="s">
        <v>326</v>
      </c>
      <c r="AM92" s="174"/>
      <c r="AN92" s="174"/>
      <c r="AO92" s="174"/>
      <c r="AP92" s="174"/>
      <c r="AQ92" s="174"/>
      <c r="AR92" s="174"/>
      <c r="AS92" s="174"/>
      <c r="AT92" s="174"/>
      <c r="AU92" s="174"/>
      <c r="AV92" s="174"/>
    </row>
    <row r="93" spans="2:48" x14ac:dyDescent="0.25">
      <c r="B93" s="217">
        <f>DSCR!B22</f>
        <v>7.375</v>
      </c>
      <c r="C93" s="218"/>
      <c r="D93" s="218"/>
      <c r="E93" s="219">
        <f>DSCR!C22</f>
        <v>101.78450000000004</v>
      </c>
      <c r="F93" s="219">
        <f>DSCR!D22</f>
        <v>97.724999999999994</v>
      </c>
      <c r="H93" s="213">
        <v>12</v>
      </c>
      <c r="I93" s="220">
        <f t="shared" si="0"/>
        <v>7.375</v>
      </c>
      <c r="J93" s="221"/>
      <c r="K93" s="221"/>
      <c r="L93" s="222" t="e">
        <f t="shared" si="2"/>
        <v>#N/A</v>
      </c>
      <c r="M93" s="222" t="e">
        <f t="shared" si="3"/>
        <v>#N/A</v>
      </c>
      <c r="N93" s="399">
        <v>7.375</v>
      </c>
      <c r="Y93" s="397" t="s">
        <v>273</v>
      </c>
      <c r="Z93" s="397"/>
      <c r="AA93" s="397" t="s">
        <v>297</v>
      </c>
      <c r="AM93" s="174"/>
      <c r="AN93" s="174"/>
      <c r="AO93" s="174"/>
      <c r="AP93" s="174"/>
      <c r="AQ93" s="174"/>
      <c r="AR93" s="174"/>
      <c r="AS93" s="174"/>
      <c r="AT93" s="174"/>
      <c r="AU93" s="174"/>
      <c r="AV93" s="174"/>
    </row>
    <row r="94" spans="2:48" ht="15.75" thickBot="1" x14ac:dyDescent="0.3">
      <c r="B94" s="217">
        <f>DSCR!B23</f>
        <v>7.4989999999999997</v>
      </c>
      <c r="C94" s="218"/>
      <c r="D94" s="218"/>
      <c r="E94" s="219">
        <f>DSCR!C23</f>
        <v>102.12850000000005</v>
      </c>
      <c r="F94" s="219">
        <f>DSCR!D23</f>
        <v>98.35</v>
      </c>
      <c r="G94" s="212" t="e">
        <f>SUM(DSCR!T12:T35)+B67</f>
        <v>#N/A</v>
      </c>
      <c r="H94" s="213">
        <v>13</v>
      </c>
      <c r="I94" s="220">
        <f t="shared" si="0"/>
        <v>7.4989999999999997</v>
      </c>
      <c r="J94" s="221"/>
      <c r="K94" s="221"/>
      <c r="L94" s="222" t="e">
        <f t="shared" si="2"/>
        <v>#N/A</v>
      </c>
      <c r="M94" s="222" t="e">
        <f t="shared" si="3"/>
        <v>#N/A</v>
      </c>
      <c r="N94" s="399">
        <v>7.4989999999999997</v>
      </c>
      <c r="Y94" s="397" t="s">
        <v>273</v>
      </c>
      <c r="Z94" s="397"/>
      <c r="AA94" s="397" t="s">
        <v>340</v>
      </c>
      <c r="AG94" s="606" t="s">
        <v>782</v>
      </c>
      <c r="AH94" s="607"/>
      <c r="AI94" s="607"/>
      <c r="AM94" s="174"/>
      <c r="AN94" s="174"/>
      <c r="AO94" s="174"/>
      <c r="AP94" s="174"/>
      <c r="AQ94" s="174"/>
      <c r="AR94" s="174"/>
      <c r="AS94" s="174"/>
    </row>
    <row r="95" spans="2:48" x14ac:dyDescent="0.25">
      <c r="B95" s="217">
        <f>DSCR!B24</f>
        <v>7.625</v>
      </c>
      <c r="C95" s="218"/>
      <c r="D95" s="218"/>
      <c r="E95" s="219">
        <f>DSCR!C24</f>
        <v>102.44050000000004</v>
      </c>
      <c r="F95" s="219">
        <f>DSCR!D24</f>
        <v>98.85</v>
      </c>
      <c r="H95" s="213">
        <v>14</v>
      </c>
      <c r="I95" s="220">
        <f t="shared" si="0"/>
        <v>7.625</v>
      </c>
      <c r="J95" s="221"/>
      <c r="K95" s="221"/>
      <c r="L95" s="222" t="e">
        <f t="shared" si="2"/>
        <v>#N/A</v>
      </c>
      <c r="M95" s="222" t="e">
        <f t="shared" si="3"/>
        <v>#N/A</v>
      </c>
      <c r="N95" s="399">
        <v>7.625</v>
      </c>
      <c r="Y95" s="397" t="s">
        <v>273</v>
      </c>
      <c r="Z95" s="402"/>
      <c r="AA95" s="397" t="s">
        <v>347</v>
      </c>
      <c r="AG95" t="s">
        <v>789</v>
      </c>
      <c r="AH95" s="223" t="str" cm="1">
        <f t="array" ref="AH95">IF(AND(OR(DSCR!$S$12=$A$3:$A$6),DSCR!$S$24='Feed(DSCR)'!$K$10,OR(DSCR!$S$20=$G$8:$G$12),OR(DSCR!$S$11=$B$7:$B$11),OR(DSCR!$S$21='Feed(DSCR)'!$J$3)),NA(),"")</f>
        <v/>
      </c>
      <c r="AI95" s="162" t="s">
        <v>802</v>
      </c>
      <c r="AM95" s="174"/>
      <c r="AN95" s="174"/>
      <c r="AO95" s="174"/>
      <c r="AP95" s="174"/>
      <c r="AQ95" s="174"/>
      <c r="AR95" s="174"/>
      <c r="AS95" s="174"/>
    </row>
    <row r="96" spans="2:48" x14ac:dyDescent="0.25">
      <c r="B96" s="217">
        <f>DSCR!B25</f>
        <v>7.75</v>
      </c>
      <c r="C96" s="218"/>
      <c r="D96" s="218"/>
      <c r="E96" s="219">
        <f>DSCR!C25</f>
        <v>102.72150000000003</v>
      </c>
      <c r="F96" s="219">
        <f>DSCR!D25</f>
        <v>99.1</v>
      </c>
      <c r="H96" s="213">
        <v>15</v>
      </c>
      <c r="I96" s="220">
        <f t="shared" si="0"/>
        <v>7.75</v>
      </c>
      <c r="J96" s="221"/>
      <c r="K96" s="221"/>
      <c r="L96" s="222" t="e">
        <f t="shared" si="2"/>
        <v>#N/A</v>
      </c>
      <c r="M96" s="222" t="e">
        <f t="shared" si="3"/>
        <v>#N/A</v>
      </c>
      <c r="N96" s="399">
        <v>7.75</v>
      </c>
      <c r="Y96" s="397" t="s">
        <v>273</v>
      </c>
      <c r="Z96" s="397"/>
      <c r="AA96" s="397" t="s">
        <v>353</v>
      </c>
      <c r="AG96" t="s">
        <v>790</v>
      </c>
      <c r="AH96" s="223" t="str" cm="1">
        <f t="array" ref="AH96">IF(AND(OR(DSCR!$S$12=$A$7),DSCR!$S$24='Feed(DSCR)'!$K$10,OR(DSCR!$S$20=$G$8:$G$12),OR(DSCR!$S$11='Feed(DSCR)'!$B$7:$B$11),OR(DSCR!$S$21=$J$3)),NA(),"")</f>
        <v/>
      </c>
      <c r="AI96" s="162" t="s">
        <v>803</v>
      </c>
      <c r="AK96"/>
      <c r="AL96"/>
      <c r="AM96"/>
      <c r="AN96"/>
      <c r="AO96"/>
      <c r="AP96"/>
      <c r="AQ96"/>
      <c r="AR96"/>
      <c r="AS96"/>
      <c r="AT96"/>
      <c r="AU96"/>
      <c r="AV96"/>
    </row>
    <row r="97" spans="2:48" x14ac:dyDescent="0.25">
      <c r="B97" s="217">
        <f>DSCR!B26</f>
        <v>7.875</v>
      </c>
      <c r="C97" s="218"/>
      <c r="D97" s="218"/>
      <c r="E97" s="219">
        <f>DSCR!C26</f>
        <v>103.00350000000005</v>
      </c>
      <c r="F97" s="219">
        <f>DSCR!D26</f>
        <v>99.35</v>
      </c>
      <c r="G97" s="212"/>
      <c r="H97" s="213">
        <v>16</v>
      </c>
      <c r="I97" s="220">
        <f t="shared" si="0"/>
        <v>7.875</v>
      </c>
      <c r="J97" s="221"/>
      <c r="K97" s="221"/>
      <c r="L97" s="222" t="e">
        <f t="shared" si="2"/>
        <v>#N/A</v>
      </c>
      <c r="M97" s="222" t="e">
        <f t="shared" si="3"/>
        <v>#N/A</v>
      </c>
      <c r="N97" s="399">
        <v>7.875</v>
      </c>
      <c r="Y97" s="397" t="s">
        <v>273</v>
      </c>
      <c r="Z97" s="402"/>
      <c r="AA97" s="397" t="s">
        <v>361</v>
      </c>
      <c r="AG97" s="162" t="s">
        <v>791</v>
      </c>
      <c r="AH97" s="223" t="str" cm="1">
        <f t="array" ref="AH97">IF(AND(OR(DSCR!$S$12=$A$8),DSCR!$S$24='Feed(DSCR)'!$K$10,OR(DSCR!$S$20=$G$8:$G$12),OR(DSCR!$S$11=$B$3:$B$11),OR(DSCR!$S$21=$J$3)),NA(),"")</f>
        <v/>
      </c>
      <c r="AI97" s="162" t="s">
        <v>804</v>
      </c>
      <c r="AK97"/>
      <c r="AL97"/>
      <c r="AM97"/>
      <c r="AN97"/>
      <c r="AO97"/>
      <c r="AP97"/>
      <c r="AQ97"/>
      <c r="AR97"/>
      <c r="AS97"/>
      <c r="AT97"/>
      <c r="AU97"/>
      <c r="AV97"/>
    </row>
    <row r="98" spans="2:48" x14ac:dyDescent="0.25">
      <c r="B98" s="217">
        <f>DSCR!B27</f>
        <v>7.9989999999999997</v>
      </c>
      <c r="C98" s="218"/>
      <c r="D98" s="218"/>
      <c r="E98" s="219">
        <f>DSCR!C27</f>
        <v>103.28450000000004</v>
      </c>
      <c r="F98" s="219">
        <f>DSCR!D27</f>
        <v>99.85</v>
      </c>
      <c r="G98" s="212"/>
      <c r="H98" s="213">
        <v>17</v>
      </c>
      <c r="I98" s="220">
        <f t="shared" si="0"/>
        <v>7.9989999999999997</v>
      </c>
      <c r="J98" s="221"/>
      <c r="K98" s="221"/>
      <c r="L98" s="222" t="e">
        <f t="shared" si="2"/>
        <v>#N/A</v>
      </c>
      <c r="M98" s="222" t="e">
        <f t="shared" si="3"/>
        <v>#N/A</v>
      </c>
      <c r="N98" s="399">
        <v>7.9989999999999997</v>
      </c>
      <c r="Y98" s="397" t="s">
        <v>273</v>
      </c>
      <c r="Z98" s="402"/>
      <c r="AA98" s="397" t="s">
        <v>633</v>
      </c>
      <c r="AG98" s="614" t="s">
        <v>783</v>
      </c>
      <c r="AH98" s="223" t="str" cm="1">
        <f t="array" ref="AH98">IF(AND(OR(DSCR!$S$12=$A$3:$A$6),DSCR!$S$24='Feed(DSCR)'!$K$10,OR(DSCR!$S$20=$G$8:$G$12),OR(DSCR!$S$11=$B$6:$B$11),OR(DSCR!$S$21='Feed(DSCR)'!$J$3)),NA(),"")</f>
        <v/>
      </c>
      <c r="AI98" s="200" t="s">
        <v>805</v>
      </c>
      <c r="AK98"/>
      <c r="AL98"/>
      <c r="AM98"/>
      <c r="AN98"/>
      <c r="AO98"/>
      <c r="AP98"/>
      <c r="AQ98"/>
      <c r="AR98"/>
      <c r="AS98"/>
      <c r="AT98"/>
      <c r="AU98"/>
      <c r="AV98"/>
    </row>
    <row r="99" spans="2:48" x14ac:dyDescent="0.25">
      <c r="B99" s="217">
        <f>DSCR!B28</f>
        <v>8.125</v>
      </c>
      <c r="C99" s="218"/>
      <c r="D99" s="218"/>
      <c r="E99" s="219">
        <f>DSCR!C28</f>
        <v>103.56550000000004</v>
      </c>
      <c r="F99" s="219">
        <f>DSCR!D28</f>
        <v>100.1</v>
      </c>
      <c r="H99" s="213">
        <v>18</v>
      </c>
      <c r="I99" s="225">
        <f t="shared" si="0"/>
        <v>8.125</v>
      </c>
      <c r="J99" s="226"/>
      <c r="K99" s="226"/>
      <c r="L99" s="227" t="e">
        <f t="shared" si="2"/>
        <v>#N/A</v>
      </c>
      <c r="M99" s="227" t="e">
        <f t="shared" si="3"/>
        <v>#N/A</v>
      </c>
      <c r="N99" s="399">
        <v>8.125</v>
      </c>
      <c r="Y99" s="397" t="s">
        <v>273</v>
      </c>
      <c r="Z99" s="402"/>
      <c r="AA99" s="397" t="s">
        <v>384</v>
      </c>
      <c r="AG99" s="614" t="s">
        <v>784</v>
      </c>
      <c r="AH99" s="223" t="str" cm="1">
        <f t="array" ref="AH99">IF(AND(OR(DSCR!$S$12=$A$7),DSCR!$S$24='Feed(DSCR)'!$K$10,OR(DSCR!$S$20=$G$8:$G$12),OR(DSCR!$S$11=$B$6:$B$11),OR(DSCR!$S$21=$J$4)),NA(),"")</f>
        <v/>
      </c>
      <c r="AI99" s="200" t="s">
        <v>806</v>
      </c>
      <c r="AK99"/>
      <c r="AL99"/>
      <c r="AM99"/>
      <c r="AN99"/>
      <c r="AO99"/>
      <c r="AP99"/>
      <c r="AQ99"/>
      <c r="AR99"/>
      <c r="AS99"/>
      <c r="AT99"/>
      <c r="AU99"/>
      <c r="AV99"/>
    </row>
    <row r="100" spans="2:48" x14ac:dyDescent="0.25">
      <c r="B100" s="217">
        <f>DSCR!B29</f>
        <v>8.25</v>
      </c>
      <c r="C100" s="218"/>
      <c r="D100" s="218"/>
      <c r="E100" s="219">
        <f>DSCR!C29</f>
        <v>103.84650000000003</v>
      </c>
      <c r="F100" s="219">
        <f>DSCR!D29</f>
        <v>100.35</v>
      </c>
      <c r="H100" s="213">
        <v>19</v>
      </c>
      <c r="I100" s="225">
        <f t="shared" si="0"/>
        <v>8.25</v>
      </c>
      <c r="J100" s="226"/>
      <c r="K100" s="226"/>
      <c r="L100" s="227" t="e">
        <f t="shared" si="2"/>
        <v>#N/A</v>
      </c>
      <c r="M100" s="227" t="e">
        <f t="shared" si="3"/>
        <v>#N/A</v>
      </c>
      <c r="N100" s="399">
        <v>8.25</v>
      </c>
      <c r="Y100" s="397" t="s">
        <v>273</v>
      </c>
      <c r="Z100" s="402"/>
      <c r="AA100" s="397" t="s">
        <v>394</v>
      </c>
      <c r="AG100" s="200" t="s">
        <v>785</v>
      </c>
      <c r="AH100" s="223" t="str" cm="1">
        <f t="array" ref="AH100">IF(AND(OR(DSCR!$S$12=$A$8),DSCR!$S$24='Feed(DSCR)'!$K$10,OR(DSCR!$S$20=$G$8:$G$12),OR(DSCR!$S$11=$B$3:$B$11),OR(DSCR!$S$21=$J$4)),NA(),"")</f>
        <v/>
      </c>
      <c r="AI100" s="200" t="s">
        <v>807</v>
      </c>
      <c r="AK100"/>
      <c r="AL100"/>
      <c r="AM100"/>
      <c r="AN100"/>
      <c r="AO100"/>
      <c r="AP100"/>
      <c r="AQ100"/>
      <c r="AR100"/>
      <c r="AS100"/>
      <c r="AT100"/>
      <c r="AU100"/>
      <c r="AV100"/>
    </row>
    <row r="101" spans="2:48" x14ac:dyDescent="0.25">
      <c r="B101" s="217">
        <f>DSCR!B30</f>
        <v>8.375</v>
      </c>
      <c r="C101" s="218"/>
      <c r="D101" s="218"/>
      <c r="E101" s="219">
        <f>DSCR!C30</f>
        <v>104.12850000000005</v>
      </c>
      <c r="F101" s="219">
        <f>DSCR!D30</f>
        <v>100.6</v>
      </c>
      <c r="H101" s="213">
        <v>20</v>
      </c>
      <c r="I101" s="220">
        <f t="shared" si="0"/>
        <v>8.375</v>
      </c>
      <c r="J101" s="221"/>
      <c r="K101" s="221"/>
      <c r="L101" s="222" t="e">
        <f t="shared" si="2"/>
        <v>#N/A</v>
      </c>
      <c r="M101" s="222" t="e">
        <f t="shared" si="3"/>
        <v>#N/A</v>
      </c>
      <c r="N101" s="399">
        <v>8.375</v>
      </c>
      <c r="Y101" s="397" t="s">
        <v>273</v>
      </c>
      <c r="Z101" s="402"/>
      <c r="AA101" s="397" t="s">
        <v>405</v>
      </c>
      <c r="AG101" t="s">
        <v>792</v>
      </c>
      <c r="AH101" s="223" t="str" cm="1">
        <f t="array" ref="AH101">IF(AND(OR(DSCR!$S$12=$A$3:$A$6),DSCR!$S$24='Feed(DSCR)'!$K$10,OR(DSCR!$S$20=$G$8:$G$12),OR(DSCR!$S$11=$B$6:$B$11),OR(DSCR!$S$21=$J$5)),NA(),"")</f>
        <v/>
      </c>
      <c r="AI101" s="162" t="s">
        <v>808</v>
      </c>
      <c r="AK101"/>
      <c r="AL101"/>
      <c r="AM101"/>
      <c r="AN101"/>
      <c r="AO101"/>
      <c r="AP101"/>
      <c r="AQ101"/>
      <c r="AR101"/>
      <c r="AS101"/>
      <c r="AT101"/>
      <c r="AU101"/>
      <c r="AV101"/>
    </row>
    <row r="102" spans="2:48" x14ac:dyDescent="0.25">
      <c r="B102" s="217">
        <f>DSCR!B31</f>
        <v>8.4990000000000006</v>
      </c>
      <c r="C102" s="218"/>
      <c r="D102" s="218"/>
      <c r="E102" s="219">
        <f>DSCR!C31</f>
        <v>104.40950000000004</v>
      </c>
      <c r="F102" s="219">
        <f>DSCR!D31</f>
        <v>100.97499999999999</v>
      </c>
      <c r="H102" s="213">
        <v>21</v>
      </c>
      <c r="I102" s="220">
        <f t="shared" si="0"/>
        <v>8.4990000000000006</v>
      </c>
      <c r="J102" s="221"/>
      <c r="K102" s="221"/>
      <c r="L102" s="222" t="e">
        <f t="shared" si="2"/>
        <v>#N/A</v>
      </c>
      <c r="M102" s="222" t="e">
        <f t="shared" si="3"/>
        <v>#N/A</v>
      </c>
      <c r="N102" s="399">
        <v>8.4990000000000006</v>
      </c>
      <c r="Y102" s="397" t="s">
        <v>273</v>
      </c>
      <c r="Z102" s="402"/>
      <c r="AA102" s="397" t="s">
        <v>415</v>
      </c>
      <c r="AG102" t="s">
        <v>793</v>
      </c>
      <c r="AH102" s="223" t="str" cm="1">
        <f t="array" ref="AH102">IF(AND(OR(DSCR!$S$12=$A$7),DSCR!$S$24='Feed(DSCR)'!$K$10,OR(DSCR!$S$20=$G$8:$G$12),OR(DSCR!$S$11=$B$6:$B$11),OR(DSCR!$S$21=$J$5)),NA(),"")</f>
        <v/>
      </c>
      <c r="AI102" s="162" t="s">
        <v>809</v>
      </c>
      <c r="AK102"/>
      <c r="AL102"/>
      <c r="AM102"/>
      <c r="AN102"/>
      <c r="AO102"/>
      <c r="AP102"/>
      <c r="AQ102"/>
      <c r="AR102"/>
      <c r="AS102"/>
      <c r="AT102"/>
      <c r="AU102"/>
      <c r="AV102"/>
    </row>
    <row r="103" spans="2:48" x14ac:dyDescent="0.25">
      <c r="B103" s="217">
        <f>DSCR!B32</f>
        <v>8.625</v>
      </c>
      <c r="C103" s="218"/>
      <c r="D103" s="218"/>
      <c r="E103" s="219">
        <f>DSCR!C32</f>
        <v>104.65950000000004</v>
      </c>
      <c r="F103" s="219">
        <f>DSCR!D32</f>
        <v>101.35</v>
      </c>
      <c r="H103" s="213">
        <v>22</v>
      </c>
      <c r="I103" s="220">
        <f t="shared" si="0"/>
        <v>8.625</v>
      </c>
      <c r="J103" s="221"/>
      <c r="K103" s="221"/>
      <c r="L103" s="222" t="e">
        <f t="shared" si="2"/>
        <v>#N/A</v>
      </c>
      <c r="M103" s="222" t="e">
        <f t="shared" si="3"/>
        <v>#N/A</v>
      </c>
      <c r="N103" s="399">
        <v>8.625</v>
      </c>
      <c r="Y103" s="397" t="s">
        <v>273</v>
      </c>
      <c r="Z103" s="402"/>
      <c r="AA103" s="397" t="s">
        <v>426</v>
      </c>
      <c r="AG103" s="162" t="s">
        <v>794</v>
      </c>
      <c r="AH103" s="223" t="str" cm="1">
        <f t="array" ref="AH103">IF(AND(OR(DSCR!$S$12=$A$8),DSCR!$S$24='Feed(DSCR)'!$K$10,OR(DSCR!$S$20=$G$8:$G$12),OR(DSCR!$S$11=$B$3:$B$11),OR(DSCR!$S$21=$J$5)),NA(),"")</f>
        <v/>
      </c>
      <c r="AI103" s="162" t="s">
        <v>810</v>
      </c>
      <c r="AK103"/>
      <c r="AL103"/>
      <c r="AM103"/>
      <c r="AN103"/>
      <c r="AO103"/>
      <c r="AP103"/>
      <c r="AQ103"/>
      <c r="AR103"/>
      <c r="AS103"/>
      <c r="AT103"/>
      <c r="AU103"/>
      <c r="AV103"/>
    </row>
    <row r="104" spans="2:48" x14ac:dyDescent="0.25">
      <c r="B104" s="217">
        <f>DSCR!B33</f>
        <v>8.75</v>
      </c>
      <c r="C104" s="218"/>
      <c r="D104" s="218"/>
      <c r="E104" s="219">
        <f>DSCR!C33</f>
        <v>104.90950000000004</v>
      </c>
      <c r="F104" s="219">
        <f>DSCR!D33</f>
        <v>101.6</v>
      </c>
      <c r="H104" s="213">
        <v>23</v>
      </c>
      <c r="I104" s="220">
        <f t="shared" si="0"/>
        <v>8.75</v>
      </c>
      <c r="J104" s="221"/>
      <c r="K104" s="221"/>
      <c r="L104" s="222" t="e">
        <f t="shared" si="2"/>
        <v>#N/A</v>
      </c>
      <c r="M104" s="222" t="e">
        <f t="shared" si="3"/>
        <v>#N/A</v>
      </c>
      <c r="N104" s="399">
        <v>8.75</v>
      </c>
      <c r="Y104" s="397" t="s">
        <v>273</v>
      </c>
      <c r="Z104" s="402"/>
      <c r="AA104" s="397" t="s">
        <v>434</v>
      </c>
      <c r="AG104" t="s">
        <v>795</v>
      </c>
      <c r="AH104" s="223" t="str" cm="1">
        <f t="array" ref="AH104">IF(AND(OR(DSCR!$S$12=$A$3:$A$6),DSCR!$S$24='Feed(DSCR)'!$K$10,OR(DSCR!$S$20=$G$9:$G$12),OR(DSCR!$S$11=$B$6:$B$11),OR(DSCR!$S$21=$J$3)),NA(),"")</f>
        <v/>
      </c>
      <c r="AI104" s="162" t="s">
        <v>811</v>
      </c>
      <c r="AK104"/>
      <c r="AL104"/>
      <c r="AM104"/>
      <c r="AN104"/>
      <c r="AO104"/>
      <c r="AP104"/>
      <c r="AQ104"/>
      <c r="AR104"/>
      <c r="AS104"/>
      <c r="AT104"/>
      <c r="AU104"/>
      <c r="AV104"/>
    </row>
    <row r="105" spans="2:48" x14ac:dyDescent="0.25">
      <c r="B105" s="217">
        <f>DSCR!B34</f>
        <v>8.875</v>
      </c>
      <c r="C105" s="218"/>
      <c r="D105" s="218"/>
      <c r="E105" s="219">
        <f>DSCR!C34</f>
        <v>105.15950000000004</v>
      </c>
      <c r="F105" s="219">
        <f>DSCR!D34</f>
        <v>101.97499999999999</v>
      </c>
      <c r="H105" s="213">
        <v>24</v>
      </c>
      <c r="I105" s="220">
        <f t="shared" si="0"/>
        <v>8.875</v>
      </c>
      <c r="J105" s="221"/>
      <c r="K105" s="221"/>
      <c r="L105" s="222" t="e">
        <f t="shared" si="2"/>
        <v>#N/A</v>
      </c>
      <c r="M105" s="222" t="e">
        <f t="shared" si="3"/>
        <v>#N/A</v>
      </c>
      <c r="N105" s="399">
        <v>8.875</v>
      </c>
      <c r="Y105" s="397" t="s">
        <v>273</v>
      </c>
      <c r="Z105" s="402"/>
      <c r="AA105" s="397" t="s">
        <v>442</v>
      </c>
      <c r="AG105" t="s">
        <v>796</v>
      </c>
      <c r="AH105" s="223" t="str" cm="1">
        <f t="array" ref="AH105">IF(AND(OR(DSCR!$S$12=$A$7),DSCR!$S$24='Feed(DSCR)'!$K$10,OR(DSCR!$S$20=$G$9:$G$12),OR(DSCR!$S$11=$B$6:$B$11),OR(DSCR!$S$21=$J$3)),NA(),"")</f>
        <v/>
      </c>
      <c r="AI105" s="162" t="s">
        <v>812</v>
      </c>
      <c r="AK105"/>
      <c r="AL105"/>
      <c r="AM105"/>
      <c r="AN105"/>
      <c r="AO105"/>
      <c r="AP105"/>
      <c r="AQ105"/>
      <c r="AR105"/>
      <c r="AS105"/>
      <c r="AT105"/>
      <c r="AU105"/>
      <c r="AV105"/>
    </row>
    <row r="106" spans="2:48" x14ac:dyDescent="0.25">
      <c r="B106" s="217">
        <f>DSCR!B35</f>
        <v>8.9990000000000006</v>
      </c>
      <c r="C106" s="218"/>
      <c r="D106" s="218"/>
      <c r="E106" s="219">
        <f>DSCR!C35</f>
        <v>105.40950000000004</v>
      </c>
      <c r="F106" s="219">
        <f>DSCR!D35</f>
        <v>102.1</v>
      </c>
      <c r="H106" s="213">
        <v>25</v>
      </c>
      <c r="I106" s="220">
        <f t="shared" si="0"/>
        <v>8.9990000000000006</v>
      </c>
      <c r="J106" s="221"/>
      <c r="K106" s="221"/>
      <c r="L106" s="222" t="e">
        <f t="shared" si="2"/>
        <v>#N/A</v>
      </c>
      <c r="M106" s="222" t="e">
        <f t="shared" si="3"/>
        <v>#N/A</v>
      </c>
      <c r="N106" s="399">
        <v>8.9990000000000006</v>
      </c>
      <c r="Y106" s="397" t="s">
        <v>273</v>
      </c>
      <c r="Z106" s="402"/>
      <c r="AA106" s="397" t="s">
        <v>450</v>
      </c>
      <c r="AB106"/>
      <c r="AC106"/>
      <c r="AD106"/>
      <c r="AE106"/>
      <c r="AF106"/>
      <c r="AG106" s="162" t="s">
        <v>797</v>
      </c>
      <c r="AH106" s="223" t="str" cm="1">
        <f t="array" ref="AH106">IF(AND(OR(DSCR!$S$12=$A$8),DSCR!$S$24='Feed(DSCR)'!$K$10,OR(DSCR!$S$20=$G$7:$G$12),OR(DSCR!$S$11=$B$3:$B$11),OR(DSCR!$S$21=$J$3)),NA(),"")</f>
        <v/>
      </c>
      <c r="AI106" s="162" t="s">
        <v>813</v>
      </c>
      <c r="AJ106"/>
      <c r="AK106"/>
      <c r="AL106"/>
      <c r="AM106"/>
      <c r="AN106"/>
    </row>
    <row r="107" spans="2:48" x14ac:dyDescent="0.25">
      <c r="B107" s="217">
        <f>DSCR!B36</f>
        <v>9.125</v>
      </c>
      <c r="C107" s="218"/>
      <c r="D107" s="218"/>
      <c r="E107" s="219">
        <f>DSCR!C36</f>
        <v>105.65950000000004</v>
      </c>
      <c r="F107" s="219">
        <f>DSCR!D36</f>
        <v>102.47499999999999</v>
      </c>
      <c r="H107" s="213">
        <v>26</v>
      </c>
      <c r="I107" s="220">
        <f t="shared" si="0"/>
        <v>9.125</v>
      </c>
      <c r="J107" s="221"/>
      <c r="K107" s="221"/>
      <c r="L107" s="222" t="e">
        <f t="shared" si="2"/>
        <v>#N/A</v>
      </c>
      <c r="M107" s="222" t="e">
        <f t="shared" si="3"/>
        <v>#N/A</v>
      </c>
      <c r="N107" s="399">
        <v>9.125</v>
      </c>
      <c r="Y107" s="397" t="s">
        <v>273</v>
      </c>
      <c r="Z107" s="397"/>
      <c r="AA107" s="397" t="s">
        <v>460</v>
      </c>
      <c r="AB107"/>
      <c r="AC107"/>
      <c r="AD107"/>
      <c r="AE107"/>
      <c r="AF107"/>
      <c r="AG107" s="614" t="s">
        <v>786</v>
      </c>
      <c r="AH107" s="223" t="str" cm="1">
        <f t="array" ref="AH107">IF(AND(OR(DSCR!$S$12='Feed(DSCR)'!$A$3:$A$6),DSCR!$S$24='Feed(DSCR)'!$K$10,OR(DSCR!$S$20=$G$9:$G$12),OR(DSCR!$S$11=$B$5:$B$11),OR(DSCR!$S$21=$J$4)),NA(),"")</f>
        <v/>
      </c>
      <c r="AI107" s="200" t="s">
        <v>814</v>
      </c>
      <c r="AJ107"/>
      <c r="AK107"/>
      <c r="AL107"/>
      <c r="AM107"/>
      <c r="AN107"/>
    </row>
    <row r="108" spans="2:48" x14ac:dyDescent="0.25">
      <c r="B108" s="217">
        <f>DSCR!B37</f>
        <v>9.25</v>
      </c>
      <c r="C108" s="218"/>
      <c r="D108" s="218"/>
      <c r="E108" s="219">
        <f>DSCR!C37</f>
        <v>105.78450000000004</v>
      </c>
      <c r="F108" s="219">
        <f>DSCR!D37</f>
        <v>102.72499999999999</v>
      </c>
      <c r="H108" s="213">
        <v>27</v>
      </c>
      <c r="I108" s="220">
        <f t="shared" si="0"/>
        <v>9.25</v>
      </c>
      <c r="J108" s="221"/>
      <c r="K108" s="221"/>
      <c r="L108" s="222" t="e">
        <f t="shared" si="2"/>
        <v>#N/A</v>
      </c>
      <c r="M108" s="222" t="e">
        <f t="shared" si="3"/>
        <v>#N/A</v>
      </c>
      <c r="N108" s="399">
        <v>9.25</v>
      </c>
      <c r="Y108" s="397" t="s">
        <v>273</v>
      </c>
      <c r="Z108" s="397"/>
      <c r="AA108" s="397" t="s">
        <v>469</v>
      </c>
      <c r="AB108"/>
      <c r="AC108"/>
      <c r="AD108"/>
      <c r="AE108"/>
      <c r="AF108"/>
      <c r="AG108" s="614" t="s">
        <v>787</v>
      </c>
      <c r="AH108" s="223" t="str" cm="1">
        <f t="array" ref="AH108">IF(AND(OR(DSCR!$S$12=$A$7),DSCR!$S$24='Feed(DSCR)'!$K$10,OR(DSCR!$S$20=$G$9:$G$12),OR(DSCR!$S$11=$B$5:$B$11),OR(DSCR!$S$21=$J$4)),NA(),"")</f>
        <v/>
      </c>
      <c r="AI108" s="200" t="s">
        <v>815</v>
      </c>
      <c r="AJ108"/>
      <c r="AK108"/>
      <c r="AL108"/>
      <c r="AM108"/>
      <c r="AN108"/>
    </row>
    <row r="109" spans="2:48" x14ac:dyDescent="0.25">
      <c r="B109" s="217">
        <f>DSCR!B38</f>
        <v>9.375</v>
      </c>
      <c r="C109" s="218"/>
      <c r="D109" s="218"/>
      <c r="E109" s="219">
        <f>DSCR!C38</f>
        <v>105.90950000000004</v>
      </c>
      <c r="F109" s="219">
        <f>DSCR!D38</f>
        <v>103.1</v>
      </c>
      <c r="H109" s="213">
        <v>28</v>
      </c>
      <c r="I109" s="220">
        <f t="shared" si="0"/>
        <v>9.375</v>
      </c>
      <c r="J109" s="221"/>
      <c r="K109" s="221"/>
      <c r="L109" s="222" t="e">
        <f t="shared" si="2"/>
        <v>#N/A</v>
      </c>
      <c r="M109" s="222" t="e">
        <f t="shared" si="3"/>
        <v>#N/A</v>
      </c>
      <c r="N109" s="399">
        <v>9.375</v>
      </c>
      <c r="Y109" s="397" t="s">
        <v>273</v>
      </c>
      <c r="Z109" s="397"/>
      <c r="AA109" s="397" t="s">
        <v>478</v>
      </c>
      <c r="AB109"/>
      <c r="AC109"/>
      <c r="AD109"/>
      <c r="AE109"/>
      <c r="AF109"/>
      <c r="AG109" s="200" t="s">
        <v>788</v>
      </c>
      <c r="AH109" s="223" t="str" cm="1">
        <f t="array" ref="AH109">IF(AND(OR(DSCR!$S$12=$A$8),DSCR!$S$24='Feed(DSCR)'!$K$10,OR(DSCR!$S$20=$G$9:$G$12),OR(DSCR!$S$11=$B$3:$B$11),OR(DSCR!$S$21=$J$4)),NA(),"")</f>
        <v/>
      </c>
      <c r="AI109" s="200" t="s">
        <v>816</v>
      </c>
      <c r="AJ109"/>
      <c r="AK109"/>
      <c r="AL109"/>
      <c r="AM109"/>
      <c r="AN109"/>
    </row>
    <row r="110" spans="2:48" x14ac:dyDescent="0.25">
      <c r="B110" s="217">
        <f>DSCR!B39</f>
        <v>9.4990000000000006</v>
      </c>
      <c r="C110" s="218"/>
      <c r="D110" s="218"/>
      <c r="E110" s="219">
        <f>DSCR!C39</f>
        <v>106.03450000000004</v>
      </c>
      <c r="F110" s="219">
        <f>DSCR!D39</f>
        <v>103.47499999999999</v>
      </c>
      <c r="H110" s="213">
        <v>29</v>
      </c>
      <c r="I110" s="220">
        <f t="shared" si="0"/>
        <v>9.4990000000000006</v>
      </c>
      <c r="J110" s="221"/>
      <c r="K110" s="221"/>
      <c r="L110" s="222" t="e">
        <f t="shared" si="2"/>
        <v>#N/A</v>
      </c>
      <c r="M110" s="222" t="e">
        <f t="shared" si="3"/>
        <v>#N/A</v>
      </c>
      <c r="N110" s="399">
        <v>9.4990000000000006</v>
      </c>
      <c r="Y110" s="397" t="s">
        <v>273</v>
      </c>
      <c r="Z110" s="397"/>
      <c r="AA110" s="397" t="s">
        <v>486</v>
      </c>
      <c r="AB110"/>
      <c r="AC110"/>
      <c r="AD110"/>
      <c r="AE110"/>
      <c r="AF110"/>
      <c r="AG110" t="s">
        <v>798</v>
      </c>
      <c r="AH110" s="223" t="str" cm="1">
        <f t="array" ref="AH110">IF(AND(OR(DSCR!$S$12='Feed(DSCR)'!$A$3:$A$6),DSCR!$S$24='Feed(DSCR)'!$K$10,OR(DSCR!$S$20=$G$9:$G$12),OR(DSCR!$S$11=$B$3:$B$11),OR(DSCR!$S$21=$J$5)),NA(),"")</f>
        <v/>
      </c>
      <c r="AI110" s="162" t="s">
        <v>817</v>
      </c>
      <c r="AJ110"/>
      <c r="AK110"/>
      <c r="AL110"/>
      <c r="AM110"/>
      <c r="AN110"/>
    </row>
    <row r="111" spans="2:48" x14ac:dyDescent="0.25">
      <c r="B111" s="217">
        <f>DSCR!B40</f>
        <v>9.625</v>
      </c>
      <c r="C111" s="218"/>
      <c r="D111" s="218"/>
      <c r="E111" s="219">
        <f>DSCR!C40</f>
        <v>106.15950000000004</v>
      </c>
      <c r="F111" s="219">
        <f>DSCR!D40</f>
        <v>103.72499999999999</v>
      </c>
      <c r="H111" s="213">
        <v>30</v>
      </c>
      <c r="I111" s="220">
        <f t="shared" si="0"/>
        <v>9.625</v>
      </c>
      <c r="J111" s="221"/>
      <c r="K111" s="221"/>
      <c r="L111" s="222" t="e">
        <f t="shared" si="2"/>
        <v>#N/A</v>
      </c>
      <c r="M111" s="222" t="e">
        <f t="shared" si="3"/>
        <v>#N/A</v>
      </c>
      <c r="N111" s="399">
        <v>9.625</v>
      </c>
      <c r="Y111" s="397" t="s">
        <v>273</v>
      </c>
      <c r="Z111" s="402"/>
      <c r="AA111" s="397" t="s">
        <v>496</v>
      </c>
      <c r="AB111"/>
      <c r="AC111"/>
      <c r="AD111"/>
      <c r="AE111"/>
      <c r="AF111"/>
      <c r="AG111" t="s">
        <v>799</v>
      </c>
      <c r="AH111" s="223" t="str" cm="1">
        <f t="array" ref="AH111">IF(AND(OR(DSCR!$S$12=$A$7),DSCR!$S$24='Feed(DSCR)'!$K$10,OR(DSCR!$S$20=$G$9:$G$12),OR(DSCR!$S$11=$B$3:$B$11),OR(DSCR!$S$21=$J$5)),NA(),"")</f>
        <v/>
      </c>
      <c r="AI111" s="162" t="s">
        <v>818</v>
      </c>
      <c r="AJ111"/>
      <c r="AK111"/>
      <c r="AL111"/>
      <c r="AM111"/>
      <c r="AN111"/>
    </row>
    <row r="112" spans="2:48" x14ac:dyDescent="0.25">
      <c r="B112" s="217">
        <f>DSCR!B41</f>
        <v>9.75</v>
      </c>
      <c r="C112" s="218"/>
      <c r="D112" s="218"/>
      <c r="E112" s="219">
        <f>DSCR!C41</f>
        <v>106.28450000000004</v>
      </c>
      <c r="F112" s="219">
        <f>DSCR!D41</f>
        <v>103.97499999999999</v>
      </c>
      <c r="H112" s="213">
        <v>31</v>
      </c>
      <c r="I112" s="220">
        <f t="shared" si="0"/>
        <v>9.75</v>
      </c>
      <c r="J112" s="221"/>
      <c r="K112" s="221"/>
      <c r="L112" s="222" t="e">
        <f t="shared" si="2"/>
        <v>#N/A</v>
      </c>
      <c r="M112" s="222" t="e">
        <f t="shared" si="3"/>
        <v>#N/A</v>
      </c>
      <c r="N112" s="399">
        <v>9.75</v>
      </c>
      <c r="Y112" s="397" t="s">
        <v>273</v>
      </c>
      <c r="Z112" s="402"/>
      <c r="AA112" s="397" t="s">
        <v>504</v>
      </c>
      <c r="AB112"/>
      <c r="AC112"/>
      <c r="AD112"/>
      <c r="AE112"/>
      <c r="AF112"/>
      <c r="AG112" s="162" t="s">
        <v>800</v>
      </c>
      <c r="AH112" s="223" t="str" cm="1">
        <f t="array" ref="AH112">IF(AND(OR(DSCR!$S$12=$A$8),DSCR!$S$24='Feed(DSCR)'!$K$10,OR(DSCR!$S$20=$G$9:$G$12),OR(DSCR!$S$11=$B$3:$B$11),OR(DSCR!$S$21=$J$5)),NA(),"")</f>
        <v/>
      </c>
      <c r="AI112" s="162" t="s">
        <v>819</v>
      </c>
      <c r="AJ112"/>
      <c r="AK112"/>
      <c r="AL112"/>
      <c r="AM112"/>
      <c r="AN112"/>
    </row>
    <row r="113" spans="2:40" x14ac:dyDescent="0.25">
      <c r="B113" s="217">
        <f>DSCR!B42</f>
        <v>9.875</v>
      </c>
      <c r="C113" s="218"/>
      <c r="D113" s="218"/>
      <c r="E113" s="219">
        <f>DSCR!C42</f>
        <v>106.40950000000004</v>
      </c>
      <c r="F113" s="219">
        <f>DSCR!D42</f>
        <v>104.22499999999999</v>
      </c>
      <c r="H113" s="213">
        <v>32</v>
      </c>
      <c r="I113" s="220">
        <f t="shared" si="0"/>
        <v>9.875</v>
      </c>
      <c r="J113" s="221"/>
      <c r="K113" s="221"/>
      <c r="L113" s="222" t="e">
        <f t="shared" si="2"/>
        <v>#N/A</v>
      </c>
      <c r="M113" s="222" t="e">
        <f t="shared" si="3"/>
        <v>#N/A</v>
      </c>
      <c r="N113" s="399">
        <v>9.875</v>
      </c>
      <c r="Y113" s="397" t="s">
        <v>273</v>
      </c>
      <c r="Z113" s="402"/>
      <c r="AA113" s="397" t="s">
        <v>512</v>
      </c>
      <c r="AB113"/>
      <c r="AC113"/>
      <c r="AD113"/>
      <c r="AE113"/>
      <c r="AF113"/>
      <c r="AG113" s="162" t="s">
        <v>933</v>
      </c>
      <c r="AH113" s="223" t="str" cm="1">
        <f t="array" ref="AH113">IF(AND(DSCR!$S$24='Feed(DSCR)'!$K$10,OR(DSCR!$S$20=$G$3:$G$4)),NA(),"")</f>
        <v/>
      </c>
      <c r="AI113" s="162" t="s">
        <v>932</v>
      </c>
      <c r="AJ113"/>
      <c r="AK113"/>
      <c r="AL113"/>
      <c r="AM113"/>
      <c r="AN113"/>
    </row>
    <row r="114" spans="2:40" x14ac:dyDescent="0.25">
      <c r="B114" s="217">
        <f>DSCR!B43</f>
        <v>9.9990000000000006</v>
      </c>
      <c r="C114" s="218"/>
      <c r="D114" s="218"/>
      <c r="E114" s="219">
        <f>DSCR!C43</f>
        <v>106.53450000000004</v>
      </c>
      <c r="F114" s="219">
        <f>DSCR!D43</f>
        <v>104.47499999999999</v>
      </c>
      <c r="H114" s="213">
        <v>33</v>
      </c>
      <c r="I114" s="220">
        <f t="shared" si="0"/>
        <v>9.9990000000000006</v>
      </c>
      <c r="J114" s="221"/>
      <c r="K114" s="221"/>
      <c r="L114" s="222" t="e">
        <f t="shared" si="2"/>
        <v>#N/A</v>
      </c>
      <c r="M114" s="222" t="e">
        <f t="shared" si="3"/>
        <v>#N/A</v>
      </c>
      <c r="N114" s="399">
        <v>9.9990000000000006</v>
      </c>
      <c r="Y114" s="397" t="s">
        <v>273</v>
      </c>
      <c r="Z114" s="402"/>
      <c r="AA114" s="397" t="s">
        <v>521</v>
      </c>
      <c r="AB114"/>
      <c r="AC114"/>
      <c r="AD114"/>
      <c r="AE114"/>
      <c r="AF114"/>
      <c r="AG114"/>
      <c r="AH114"/>
      <c r="AI114"/>
      <c r="AJ114"/>
      <c r="AK114"/>
      <c r="AL114"/>
      <c r="AM114"/>
      <c r="AN114"/>
    </row>
    <row r="115" spans="2:40" x14ac:dyDescent="0.25">
      <c r="B115" s="217">
        <f>DSCR!B44</f>
        <v>10.125</v>
      </c>
      <c r="C115" s="218"/>
      <c r="D115" s="218"/>
      <c r="E115" s="219">
        <f>DSCR!C44</f>
        <v>106.65950000000004</v>
      </c>
      <c r="F115" s="219">
        <f>DSCR!D44</f>
        <v>104.72499999999999</v>
      </c>
      <c r="H115" s="213">
        <v>34</v>
      </c>
      <c r="I115" s="220">
        <f t="shared" si="0"/>
        <v>10.125</v>
      </c>
      <c r="J115" s="221"/>
      <c r="K115" s="221"/>
      <c r="L115" s="222" t="e">
        <f t="shared" si="2"/>
        <v>#N/A</v>
      </c>
      <c r="M115" s="222" t="e">
        <f t="shared" si="3"/>
        <v>#N/A</v>
      </c>
      <c r="N115" s="399">
        <v>10.125</v>
      </c>
      <c r="Y115" s="397" t="s">
        <v>273</v>
      </c>
      <c r="Z115" s="402"/>
      <c r="AA115" s="397" t="s">
        <v>529</v>
      </c>
      <c r="AB115"/>
      <c r="AC115"/>
      <c r="AD115"/>
      <c r="AE115"/>
      <c r="AF115"/>
      <c r="AG115"/>
      <c r="AH115"/>
      <c r="AI115"/>
      <c r="AJ115"/>
      <c r="AK115"/>
      <c r="AL115"/>
      <c r="AM115"/>
      <c r="AN115"/>
    </row>
    <row r="116" spans="2:40" x14ac:dyDescent="0.25">
      <c r="B116" s="217">
        <f>DSCR!B45</f>
        <v>10.25</v>
      </c>
      <c r="C116" s="218"/>
      <c r="D116" s="218"/>
      <c r="E116" s="219">
        <f>DSCR!C45</f>
        <v>106.78450000000004</v>
      </c>
      <c r="F116" s="219">
        <f>DSCR!D45</f>
        <v>104.97499999999999</v>
      </c>
      <c r="H116" s="213">
        <v>35</v>
      </c>
      <c r="I116" s="220">
        <f t="shared" si="0"/>
        <v>10.25</v>
      </c>
      <c r="J116" s="221"/>
      <c r="K116" s="221"/>
      <c r="L116" s="222" t="e">
        <f t="shared" si="2"/>
        <v>#N/A</v>
      </c>
      <c r="M116" s="222" t="e">
        <f t="shared" si="3"/>
        <v>#N/A</v>
      </c>
      <c r="N116" s="399">
        <v>10.25</v>
      </c>
      <c r="Y116" s="397" t="s">
        <v>273</v>
      </c>
      <c r="Z116" s="402"/>
      <c r="AA116" s="397" t="s">
        <v>538</v>
      </c>
      <c r="AB116"/>
      <c r="AC116"/>
      <c r="AD116"/>
      <c r="AE116"/>
      <c r="AF116"/>
      <c r="AG116"/>
      <c r="AH116"/>
      <c r="AI116"/>
      <c r="AJ116"/>
      <c r="AK116"/>
      <c r="AL116"/>
      <c r="AM116"/>
      <c r="AN116"/>
    </row>
    <row r="117" spans="2:40" x14ac:dyDescent="0.25">
      <c r="B117" s="217">
        <f>DSCR!B46</f>
        <v>10.375</v>
      </c>
      <c r="C117" s="218"/>
      <c r="D117" s="218"/>
      <c r="E117" s="219">
        <f>DSCR!C46</f>
        <v>106.90950000000004</v>
      </c>
      <c r="F117" s="219">
        <f>DSCR!D46</f>
        <v>105.22499999999999</v>
      </c>
      <c r="H117" s="213">
        <v>36</v>
      </c>
      <c r="I117" s="220">
        <f t="shared" si="0"/>
        <v>10.375</v>
      </c>
      <c r="J117" s="221"/>
      <c r="K117" s="221"/>
      <c r="L117" s="222" t="e">
        <f t="shared" si="2"/>
        <v>#N/A</v>
      </c>
      <c r="M117" s="222" t="e">
        <f t="shared" si="3"/>
        <v>#N/A</v>
      </c>
      <c r="N117" s="399">
        <v>10.375</v>
      </c>
      <c r="Y117" s="397" t="s">
        <v>273</v>
      </c>
      <c r="Z117" s="402"/>
      <c r="AA117" s="397" t="s">
        <v>546</v>
      </c>
      <c r="AB117"/>
      <c r="AC117"/>
      <c r="AD117"/>
      <c r="AE117"/>
      <c r="AF117"/>
      <c r="AG117"/>
      <c r="AH117"/>
      <c r="AI117"/>
      <c r="AJ117"/>
      <c r="AK117"/>
      <c r="AL117"/>
      <c r="AM117"/>
      <c r="AN117"/>
    </row>
    <row r="118" spans="2:40" x14ac:dyDescent="0.25">
      <c r="B118" s="217">
        <f>DSCR!B47</f>
        <v>10.499000000000001</v>
      </c>
      <c r="C118" s="218"/>
      <c r="D118" s="218"/>
      <c r="E118" s="219">
        <f>DSCR!C47</f>
        <v>107.03450000000004</v>
      </c>
      <c r="F118" s="219">
        <f>DSCR!D47</f>
        <v>105.47499999999999</v>
      </c>
      <c r="H118" s="213">
        <v>37</v>
      </c>
      <c r="I118" s="220">
        <f t="shared" si="0"/>
        <v>10.499000000000001</v>
      </c>
      <c r="J118" s="221"/>
      <c r="K118" s="221"/>
      <c r="L118" s="222" t="e">
        <f t="shared" si="2"/>
        <v>#N/A</v>
      </c>
      <c r="M118" s="222" t="e">
        <f t="shared" si="3"/>
        <v>#N/A</v>
      </c>
      <c r="N118" s="399">
        <v>10.499000000000001</v>
      </c>
      <c r="Y118" s="397" t="s">
        <v>273</v>
      </c>
      <c r="Z118" s="402"/>
      <c r="AA118" s="397" t="s">
        <v>554</v>
      </c>
      <c r="AB118"/>
      <c r="AC118"/>
      <c r="AD118"/>
      <c r="AE118"/>
      <c r="AF118"/>
      <c r="AG118"/>
      <c r="AH118"/>
      <c r="AI118"/>
      <c r="AJ118"/>
      <c r="AK118"/>
      <c r="AL118"/>
      <c r="AM118"/>
      <c r="AN118"/>
    </row>
    <row r="119" spans="2:40" x14ac:dyDescent="0.25">
      <c r="B119" s="217">
        <f>DSCR!B48</f>
        <v>10.625</v>
      </c>
      <c r="C119" s="218"/>
      <c r="D119" s="218"/>
      <c r="E119" s="219">
        <f>DSCR!C48</f>
        <v>107.15950000000004</v>
      </c>
      <c r="F119" s="219">
        <f>DSCR!D48</f>
        <v>105.72499999999999</v>
      </c>
      <c r="H119" s="213">
        <v>38</v>
      </c>
      <c r="I119" s="220">
        <f t="shared" si="0"/>
        <v>10.625</v>
      </c>
      <c r="J119" s="221"/>
      <c r="K119" s="221"/>
      <c r="L119" s="222" t="e">
        <f t="shared" si="2"/>
        <v>#N/A</v>
      </c>
      <c r="M119" s="222" t="e">
        <f t="shared" si="3"/>
        <v>#N/A</v>
      </c>
      <c r="N119" s="399">
        <v>10.625</v>
      </c>
      <c r="P119" s="212"/>
      <c r="Y119" s="397" t="s">
        <v>273</v>
      </c>
      <c r="Z119" s="402"/>
      <c r="AA119" s="397" t="s">
        <v>562</v>
      </c>
      <c r="AB119"/>
      <c r="AC119"/>
      <c r="AD119"/>
      <c r="AE119"/>
      <c r="AF119"/>
      <c r="AG119"/>
      <c r="AH119"/>
      <c r="AI119"/>
      <c r="AJ119"/>
      <c r="AK119"/>
      <c r="AL119"/>
      <c r="AM119"/>
      <c r="AN119"/>
    </row>
    <row r="120" spans="2:40" x14ac:dyDescent="0.25">
      <c r="B120" s="217">
        <f>DSCR!B49</f>
        <v>0</v>
      </c>
      <c r="C120" s="218"/>
      <c r="D120" s="218"/>
      <c r="E120" s="219">
        <f>DSCR!C49</f>
        <v>0</v>
      </c>
      <c r="F120" s="219">
        <f>DSCR!D49</f>
        <v>0</v>
      </c>
      <c r="H120" s="213">
        <v>39</v>
      </c>
      <c r="I120" s="220">
        <f t="shared" si="0"/>
        <v>0</v>
      </c>
      <c r="J120" s="221"/>
      <c r="K120" s="221"/>
      <c r="L120" s="222" t="e">
        <f t="shared" si="2"/>
        <v>#N/A</v>
      </c>
      <c r="M120" s="222" t="e">
        <f t="shared" si="3"/>
        <v>#N/A</v>
      </c>
      <c r="N120" s="399">
        <v>0</v>
      </c>
      <c r="Y120" s="397" t="s">
        <v>273</v>
      </c>
      <c r="Z120" s="402"/>
      <c r="AA120" s="397" t="s">
        <v>572</v>
      </c>
      <c r="AB120"/>
      <c r="AC120"/>
      <c r="AD120"/>
      <c r="AE120"/>
      <c r="AF120"/>
      <c r="AG120"/>
      <c r="AH120"/>
      <c r="AI120"/>
      <c r="AJ120"/>
      <c r="AK120"/>
      <c r="AL120"/>
      <c r="AM120"/>
      <c r="AN120"/>
    </row>
    <row r="121" spans="2:40" x14ac:dyDescent="0.25">
      <c r="B121" s="217">
        <f>DSCR!B50</f>
        <v>0</v>
      </c>
      <c r="C121" s="218"/>
      <c r="D121" s="218"/>
      <c r="E121" s="219">
        <f>DSCR!C50</f>
        <v>0</v>
      </c>
      <c r="F121" s="219">
        <f>DSCR!D50</f>
        <v>0</v>
      </c>
      <c r="H121" s="213">
        <v>40</v>
      </c>
      <c r="I121" s="220">
        <f t="shared" si="0"/>
        <v>0</v>
      </c>
      <c r="J121" s="221"/>
      <c r="K121" s="221"/>
      <c r="L121" s="222" t="e">
        <f t="shared" si="2"/>
        <v>#N/A</v>
      </c>
      <c r="M121" s="222" t="e">
        <f t="shared" si="3"/>
        <v>#N/A</v>
      </c>
      <c r="N121" s="399">
        <v>0</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9"/>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52" t="str">
        <f>DSCR!Q55</f>
        <v>Max Price</v>
      </c>
      <c r="C129" s="853"/>
      <c r="D129" s="853"/>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900" t="str">
        <f>NonQM!S56</f>
        <v>Owner/2nd Home</v>
      </c>
      <c r="C130" s="901"/>
      <c r="D130" s="417"/>
      <c r="E130" s="492"/>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900"/>
      <c r="C131" s="901"/>
      <c r="D131" s="417"/>
      <c r="E131" s="492"/>
      <c r="F131"/>
      <c r="AA131"/>
      <c r="AB131"/>
      <c r="AC131"/>
      <c r="AD131"/>
      <c r="AE131"/>
      <c r="AF131"/>
      <c r="AG131"/>
      <c r="AH131"/>
      <c r="AI131"/>
      <c r="AJ131"/>
      <c r="AK131"/>
      <c r="AL131"/>
      <c r="AM131"/>
      <c r="AN131"/>
    </row>
    <row r="132" spans="1:40" x14ac:dyDescent="0.25">
      <c r="B132" s="843" t="str">
        <f>NonQM!S58</f>
        <v>80.01-90.00% LTV</v>
      </c>
      <c r="C132" s="844"/>
      <c r="D132" s="388">
        <f>DSCR!R59</f>
        <v>101</v>
      </c>
      <c r="E132" s="493"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43" t="str">
        <f>DSCR!Q60</f>
        <v>ITIN/Foreign National</v>
      </c>
      <c r="C133" s="844"/>
      <c r="D133" s="388">
        <f>DSCR!R60</f>
        <v>100.5</v>
      </c>
      <c r="E133" s="493"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43" t="str">
        <f>NonQM!S60</f>
        <v>Subord Financing</v>
      </c>
      <c r="C134" s="844"/>
      <c r="D134" s="388">
        <f>DSCR!R61</f>
        <v>100</v>
      </c>
      <c r="E134" s="493" t="str">
        <f>IF(OR(DSCR!S32=S4),D134,"")</f>
        <v/>
      </c>
      <c r="F134"/>
      <c r="G134"/>
      <c r="H134"/>
      <c r="I134" s="845" t="s">
        <v>637</v>
      </c>
      <c r="J134" s="846"/>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43" t="str">
        <f>DSCR!Q62</f>
        <v>No PPP</v>
      </c>
      <c r="C135" s="844"/>
      <c r="D135" s="388">
        <f>DSCR!R62</f>
        <v>100</v>
      </c>
      <c r="E135" s="493" t="str">
        <f>IF(AND(ISNUMBER(MATCH(DSCR!S23, L5:L6, 0)),OR(ISNUMBER(MATCH(DSCR!S27, H3:H4, 0)),)), D135, "")</f>
        <v/>
      </c>
      <c r="F135"/>
      <c r="G135"/>
      <c r="H135"/>
      <c r="I135" s="850"/>
      <c r="J135" s="851"/>
      <c r="K135" s="249"/>
      <c r="L135" s="250"/>
      <c r="M135"/>
      <c r="X135"/>
      <c r="Y135"/>
      <c r="Z135"/>
      <c r="AA135"/>
      <c r="AB135"/>
      <c r="AC135"/>
      <c r="AD135"/>
      <c r="AE135"/>
      <c r="AF135"/>
      <c r="AG135"/>
      <c r="AH135"/>
      <c r="AI135"/>
      <c r="AJ135"/>
      <c r="AK135"/>
    </row>
    <row r="136" spans="1:40" x14ac:dyDescent="0.25">
      <c r="A136" s="162" t="s">
        <v>177</v>
      </c>
      <c r="B136" s="843" t="str">
        <f>DSCR!Q63</f>
        <v>12 Months PPP</v>
      </c>
      <c r="C136" s="844"/>
      <c r="D136" s="388">
        <f>DSCR!R63</f>
        <v>101.5</v>
      </c>
      <c r="E136" s="493"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43" t="str">
        <f>DSCR!Q64</f>
        <v>24 Months PPP</v>
      </c>
      <c r="C137" s="844"/>
      <c r="D137" s="388">
        <f>DSCR!R64</f>
        <v>102</v>
      </c>
      <c r="E137" s="493"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43" t="str">
        <f>DSCR!Q56</f>
        <v>36-60 Months PPP</v>
      </c>
      <c r="C138" s="844"/>
      <c r="D138" s="387">
        <f>DSCR!R56</f>
        <v>102.5</v>
      </c>
      <c r="E138" s="493"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43" t="str">
        <f>DSCR!Q57</f>
        <v>&gt;$2,000,000</v>
      </c>
      <c r="C139" s="844"/>
      <c r="D139" s="387">
        <f>DSCR!R57</f>
        <v>100.75</v>
      </c>
      <c r="E139" s="493" t="str" cm="1">
        <f t="array" ref="E139">IF(OR(DSCR!S20=G8:G12),D139,"")</f>
        <v/>
      </c>
      <c r="F139"/>
      <c r="G139"/>
      <c r="H139"/>
      <c r="I139"/>
      <c r="J139"/>
      <c r="K139"/>
      <c r="L139"/>
      <c r="M139"/>
      <c r="X139"/>
      <c r="Y139"/>
      <c r="Z139"/>
      <c r="AA139"/>
      <c r="AB139"/>
      <c r="AC139"/>
      <c r="AD139"/>
      <c r="AE139"/>
      <c r="AF139"/>
      <c r="AG139"/>
      <c r="AH139"/>
      <c r="AI139"/>
      <c r="AJ139"/>
      <c r="AK139"/>
    </row>
    <row r="140" spans="1:40" x14ac:dyDescent="0.25">
      <c r="A140" s="162" t="s">
        <v>177</v>
      </c>
      <c r="B140" s="843" t="str">
        <f>DSCR!Q58</f>
        <v>&gt;$2,500,000</v>
      </c>
      <c r="C140" s="844"/>
      <c r="D140" s="387">
        <f>DSCR!R58</f>
        <v>100.5</v>
      </c>
      <c r="E140" s="493" t="str" cm="1">
        <f t="array" ref="E140">IF(OR(DSCR!S20=G9:G12),D140,"")</f>
        <v/>
      </c>
      <c r="F140"/>
      <c r="G140"/>
      <c r="H140"/>
      <c r="I140"/>
      <c r="J140"/>
      <c r="K140"/>
      <c r="L140"/>
      <c r="M140"/>
    </row>
    <row r="141" spans="1:40" x14ac:dyDescent="0.25">
      <c r="B141" s="843" t="str">
        <f>DSCR!Q66</f>
        <v>DSCR 5-8 Units</v>
      </c>
      <c r="C141" s="844"/>
      <c r="D141" s="387">
        <f>DSCR!R66</f>
        <v>100</v>
      </c>
      <c r="E141" s="493" t="str">
        <f>IF(OR(DSCR!S24=K10),D141,"")</f>
        <v/>
      </c>
      <c r="F141"/>
      <c r="G141"/>
      <c r="H141"/>
      <c r="I141"/>
      <c r="J141"/>
      <c r="K141"/>
      <c r="L141"/>
      <c r="M141"/>
    </row>
    <row r="142" spans="1:40" x14ac:dyDescent="0.25">
      <c r="A142" s="162" t="s">
        <v>177</v>
      </c>
      <c r="B142" s="843" t="str">
        <f>DSCR!Q65</f>
        <v>NJ Title Vested in LLC</v>
      </c>
      <c r="C142" s="844"/>
      <c r="D142" s="387">
        <f>DSCR!R65</f>
        <v>100</v>
      </c>
      <c r="E142" s="494" t="str">
        <f>IF(OR(DSCR!S28=J15),D142,"")</f>
        <v/>
      </c>
      <c r="F142"/>
      <c r="G142"/>
      <c r="H142"/>
      <c r="I142"/>
      <c r="J142"/>
      <c r="K142"/>
      <c r="L142"/>
      <c r="M142"/>
    </row>
    <row r="143" spans="1:40" x14ac:dyDescent="0.25">
      <c r="B143" s="843">
        <f>DSCR!Q67</f>
        <v>0</v>
      </c>
      <c r="C143" s="844"/>
      <c r="D143" s="387">
        <f>DSCR!R67</f>
        <v>0</v>
      </c>
      <c r="E143" s="494" t="str">
        <f>IF(AND(DSCR!S29=T16,OR(DSCR!S23=L6),DSCR!S27=H3),D143,"")</f>
        <v/>
      </c>
      <c r="F143"/>
      <c r="G143"/>
      <c r="H143"/>
      <c r="I143"/>
      <c r="J143"/>
      <c r="K143"/>
      <c r="L143"/>
      <c r="M143"/>
    </row>
    <row r="144" spans="1:40" x14ac:dyDescent="0.25">
      <c r="B144" s="900"/>
      <c r="C144" s="901"/>
      <c r="D144" s="417"/>
      <c r="E144" s="492"/>
      <c r="F144"/>
      <c r="G144"/>
      <c r="H144"/>
      <c r="I144"/>
      <c r="J144"/>
      <c r="K144"/>
      <c r="L144"/>
      <c r="M144"/>
    </row>
    <row r="145" spans="2:23" x14ac:dyDescent="0.25">
      <c r="B145" s="415"/>
      <c r="C145" s="416"/>
      <c r="D145" s="417"/>
      <c r="E145" s="492"/>
      <c r="F145"/>
      <c r="G145"/>
      <c r="H145"/>
      <c r="I145"/>
      <c r="J145"/>
      <c r="K145"/>
      <c r="L145"/>
      <c r="M145"/>
    </row>
    <row r="146" spans="2:23" ht="15.75" thickBot="1" x14ac:dyDescent="0.3">
      <c r="B146" s="415"/>
      <c r="C146" s="416"/>
      <c r="D146" s="417"/>
      <c r="E146" s="495"/>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6.625</v>
      </c>
      <c r="E150" s="493" t="str" cm="1">
        <f t="array" ref="E150">IF(OR(DSCR!S20=G9:G12),D150,"")</f>
        <v/>
      </c>
      <c r="F150"/>
      <c r="G150"/>
      <c r="H150"/>
      <c r="I150"/>
      <c r="J150"/>
      <c r="K150"/>
      <c r="L150"/>
      <c r="M150"/>
    </row>
    <row r="151" spans="2:23" ht="15.75" thickBot="1" x14ac:dyDescent="0.3">
      <c r="B151" s="418" t="str">
        <f>DSCR!Q70</f>
        <v>ITIN/Foreign National</v>
      </c>
      <c r="C151" s="419"/>
      <c r="D151" s="420">
        <f>DSCR!R70</f>
        <v>7.375</v>
      </c>
      <c r="E151" s="493"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9"/>
      <c r="F154"/>
      <c r="G154"/>
      <c r="H154"/>
      <c r="I154"/>
      <c r="J154"/>
      <c r="K154"/>
      <c r="L154"/>
      <c r="M154"/>
    </row>
    <row r="155" spans="2:23" x14ac:dyDescent="0.25">
      <c r="B155"/>
      <c r="C155"/>
      <c r="D155"/>
      <c r="E155" s="499"/>
      <c r="F155"/>
      <c r="G155"/>
      <c r="H155"/>
      <c r="I155"/>
      <c r="J155"/>
      <c r="K155"/>
      <c r="L155"/>
      <c r="M155"/>
    </row>
    <row r="156" spans="2:23" x14ac:dyDescent="0.25">
      <c r="B156"/>
      <c r="C156"/>
      <c r="D156"/>
      <c r="E156" s="499"/>
      <c r="F156"/>
      <c r="G156"/>
      <c r="H156"/>
      <c r="I156"/>
      <c r="J156"/>
      <c r="K156"/>
      <c r="L156"/>
      <c r="M156"/>
    </row>
    <row r="157" spans="2:23" x14ac:dyDescent="0.25">
      <c r="B157"/>
      <c r="C157"/>
      <c r="D157"/>
      <c r="E157" s="499"/>
      <c r="F157"/>
      <c r="G157"/>
      <c r="H157"/>
      <c r="I157"/>
      <c r="J157"/>
      <c r="K157"/>
      <c r="L157"/>
      <c r="M157"/>
    </row>
    <row r="158" spans="2:23" ht="15.75" thickBot="1" x14ac:dyDescent="0.3">
      <c r="B158"/>
      <c r="C158"/>
      <c r="D158"/>
      <c r="E158" s="499"/>
      <c r="F158"/>
      <c r="G158"/>
      <c r="H158"/>
      <c r="I158"/>
      <c r="J158"/>
      <c r="K158"/>
      <c r="L158"/>
      <c r="M158"/>
    </row>
    <row r="159" spans="2:23" ht="15.75" thickBot="1" x14ac:dyDescent="0.3">
      <c r="B159"/>
      <c r="C159"/>
      <c r="D159"/>
      <c r="E159" s="499"/>
      <c r="F159"/>
      <c r="G159"/>
      <c r="H159"/>
      <c r="I159"/>
      <c r="J159"/>
      <c r="K159"/>
      <c r="L159"/>
      <c r="M159"/>
      <c r="T159" s="473" t="s">
        <v>767</v>
      </c>
      <c r="U159" s="172"/>
      <c r="V159" s="172"/>
      <c r="W159" s="172"/>
    </row>
    <row r="160" spans="2:23" ht="12" customHeight="1" x14ac:dyDescent="0.25">
      <c r="B160"/>
      <c r="C160"/>
      <c r="D160"/>
      <c r="E160" s="499"/>
      <c r="F160"/>
      <c r="G160"/>
      <c r="H160"/>
      <c r="I160"/>
      <c r="J160"/>
      <c r="K160"/>
      <c r="L160"/>
      <c r="M160"/>
      <c r="T160" s="473" t="s">
        <v>32</v>
      </c>
      <c r="U160" s="473" t="s">
        <v>767</v>
      </c>
      <c r="V160" s="474"/>
      <c r="W160" s="475"/>
    </row>
    <row r="161" spans="2:23" ht="12" customHeight="1" x14ac:dyDescent="0.25">
      <c r="B161" s="793" t="s">
        <v>12</v>
      </c>
      <c r="C161" s="794"/>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779</v>
      </c>
      <c r="W161" s="481">
        <v>0</v>
      </c>
    </row>
    <row r="162" spans="2:23" ht="12" customHeight="1" x14ac:dyDescent="0.25">
      <c r="B162" s="635" t="s">
        <v>96</v>
      </c>
      <c r="C162" s="636"/>
      <c r="D162" s="636"/>
      <c r="E162" s="636"/>
      <c r="F162" s="636"/>
      <c r="G162" s="636"/>
      <c r="H162" s="636"/>
      <c r="I162" s="636"/>
      <c r="J162" s="636"/>
      <c r="K162" s="636"/>
      <c r="L162" s="637"/>
      <c r="M162"/>
      <c r="N162" s="172" t="s">
        <v>32</v>
      </c>
      <c r="O162" s="382"/>
      <c r="P162" s="383"/>
      <c r="Q162" s="383"/>
      <c r="R162" s="383"/>
      <c r="T162" s="479" t="s">
        <v>769</v>
      </c>
      <c r="U162" s="479" t="s">
        <v>769</v>
      </c>
      <c r="V162" s="480" t="s">
        <v>780</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781</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t="e">
        <f>IF(OR($O$176="", $O$177="", $O$177="Choose a Selection"),0,
   INDEX($D$163:$L$217,
         MATCH($O$177,$B$163:$B$217,0),
         MATCH($O$176,$D$161:$L$161,0)))</f>
        <v>#N/A</v>
      </c>
      <c r="P175" s="380">
        <f>IF(OR($P$176="", $P$177="", $P$177="Choose a Selection"),0,
   INDEX($D$163:$L$217,
         MATCH($P$177,$B$163:$B$217,0),
         MATCH($P$176,$D$161:$L$161,0)))</f>
        <v>0</v>
      </c>
      <c r="Q175" s="380" t="e">
        <f>IF(OR($Q$176="", $Q$177="",$Q$177="Choose a Selection"),0,
   INDEX($D$163:$L$217,
         MATCH($Q$177,$B$163:$B$217,0),
         MATCH($Q$176,$D$161:$L$161,0)))</f>
        <v>#N/A</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30YR Fixed</v>
      </c>
      <c r="P177" s="381" t="str">
        <f>DSCR!$S$24</f>
        <v>Choose a Selection</v>
      </c>
      <c r="Q177" s="431" t="str">
        <f>DSCR!S32</f>
        <v>No</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t="e">
        <f>IF(OR($R$181="", $R$182="", $R$182="Choose a Selection"),0,
   INDEX($D$163:$L$217,
         MATCH($R$182,$B$163:$B$217,0),
         MATCH($R$181,$D$161:$L$161,0)))</f>
        <v>#N/A</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30 Day</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610">
        <f>DSCR!H66</f>
        <v>0</v>
      </c>
      <c r="E185" s="610">
        <f>DSCR!I66</f>
        <v>0</v>
      </c>
      <c r="F185" s="610">
        <f>DSCR!J66</f>
        <v>0</v>
      </c>
      <c r="G185" s="610">
        <f>DSCR!K66</f>
        <v>0</v>
      </c>
      <c r="H185" s="610">
        <f>DSCR!L66</f>
        <v>0</v>
      </c>
      <c r="I185" s="610">
        <f>DSCR!M66</f>
        <v>0</v>
      </c>
      <c r="J185" s="610">
        <f>DSCR!N66</f>
        <v>0</v>
      </c>
      <c r="K185" s="610" t="e">
        <f>DSCR!O66</f>
        <v>#N/A</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610">
        <f>DSCR!H67</f>
        <v>-2</v>
      </c>
      <c r="E191" s="610">
        <f>DSCR!I67</f>
        <v>-2</v>
      </c>
      <c r="F191" s="610">
        <f>DSCR!J67</f>
        <v>-2</v>
      </c>
      <c r="G191" s="610">
        <f>DSCR!K67</f>
        <v>-2</v>
      </c>
      <c r="H191" s="610">
        <f>DSCR!L67</f>
        <v>-2</v>
      </c>
      <c r="I191" s="610">
        <f>DSCR!M67</f>
        <v>-2.5</v>
      </c>
      <c r="J191" s="610" t="e">
        <f>DSCR!N67</f>
        <v>#N/A</v>
      </c>
      <c r="K191" s="610" t="e">
        <f>DSCR!O67</f>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895</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7" t="s">
        <v>203</v>
      </c>
      <c r="O1" s="497" t="s">
        <v>204</v>
      </c>
      <c r="P1" s="497" t="s">
        <v>44</v>
      </c>
      <c r="Q1" s="497" t="s">
        <v>205</v>
      </c>
      <c r="R1" s="534" t="s">
        <v>67</v>
      </c>
      <c r="S1" s="534"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8" t="s">
        <v>32</v>
      </c>
      <c r="O2" s="498" t="s">
        <v>32</v>
      </c>
      <c r="P2" s="498" t="s">
        <v>32</v>
      </c>
      <c r="Q2" s="498" t="s">
        <v>32</v>
      </c>
      <c r="R2" s="498" t="s">
        <v>32</v>
      </c>
      <c r="S2" s="498" t="s">
        <v>32</v>
      </c>
      <c r="T2" s="172" t="s">
        <v>32</v>
      </c>
      <c r="U2" s="172" t="s">
        <v>32</v>
      </c>
      <c r="V2" s="172" t="s">
        <v>32</v>
      </c>
      <c r="W2" s="172" t="s">
        <v>32</v>
      </c>
      <c r="X2"/>
      <c r="Y2" s="533"/>
      <c r="Z2"/>
      <c r="AC2" s="162"/>
      <c r="AD2" s="162"/>
    </row>
    <row r="3" spans="1:31" x14ac:dyDescent="0.25">
      <c r="A3" s="162" t="s">
        <v>902</v>
      </c>
      <c r="B3" s="172" t="s">
        <v>13</v>
      </c>
      <c r="C3" s="172" t="s">
        <v>49</v>
      </c>
      <c r="D3" s="175" t="s">
        <v>210</v>
      </c>
      <c r="E3" s="172" t="s">
        <v>211</v>
      </c>
      <c r="F3" s="172" t="s">
        <v>914</v>
      </c>
      <c r="G3" s="172" t="s">
        <v>908</v>
      </c>
      <c r="H3" s="172" t="s">
        <v>103</v>
      </c>
      <c r="I3" s="172" t="s">
        <v>57</v>
      </c>
      <c r="J3" t="s">
        <v>69</v>
      </c>
      <c r="K3" s="172" t="s">
        <v>213</v>
      </c>
      <c r="L3" s="172" t="s">
        <v>214</v>
      </c>
      <c r="M3" s="172" t="s">
        <v>54</v>
      </c>
      <c r="N3" s="498" t="s">
        <v>215</v>
      </c>
      <c r="O3" s="498" t="s">
        <v>216</v>
      </c>
      <c r="P3" s="498" t="s">
        <v>217</v>
      </c>
      <c r="Q3" s="498" t="s">
        <v>218</v>
      </c>
      <c r="R3" s="498" t="s">
        <v>68</v>
      </c>
      <c r="S3" s="498" t="s">
        <v>68</v>
      </c>
      <c r="T3" s="172" t="s">
        <v>227</v>
      </c>
      <c r="U3" s="162" t="s">
        <v>913</v>
      </c>
      <c r="V3" s="162" t="s">
        <v>35</v>
      </c>
      <c r="W3" s="162" t="s">
        <v>38</v>
      </c>
      <c r="X3"/>
      <c r="Y3" s="533"/>
      <c r="Z3"/>
      <c r="AA3"/>
      <c r="AB3" s="162"/>
      <c r="AC3" s="162"/>
      <c r="AD3" s="162"/>
    </row>
    <row r="4" spans="1:31" x14ac:dyDescent="0.25">
      <c r="A4" s="162" t="s">
        <v>43</v>
      </c>
      <c r="B4" s="172" t="s">
        <v>14</v>
      </c>
      <c r="C4" s="172" t="s">
        <v>29</v>
      </c>
      <c r="D4" s="175"/>
      <c r="E4" s="175"/>
      <c r="F4" s="172" t="s">
        <v>907</v>
      </c>
      <c r="G4" s="162" t="s">
        <v>777</v>
      </c>
      <c r="H4" s="172" t="s">
        <v>108</v>
      </c>
      <c r="I4" s="172" t="s">
        <v>152</v>
      </c>
      <c r="J4" t="s">
        <v>71</v>
      </c>
      <c r="K4" s="162" t="s">
        <v>911</v>
      </c>
      <c r="L4" s="172" t="s">
        <v>98</v>
      </c>
      <c r="M4" s="172"/>
      <c r="N4" s="498" t="s">
        <v>66</v>
      </c>
      <c r="O4" s="498"/>
      <c r="P4" s="175" t="s">
        <v>906</v>
      </c>
      <c r="Q4" s="498" t="s">
        <v>224</v>
      </c>
      <c r="R4" s="535" t="s">
        <v>225</v>
      </c>
      <c r="S4" s="536" t="s">
        <v>226</v>
      </c>
      <c r="T4" s="172" t="s">
        <v>219</v>
      </c>
      <c r="U4" s="162" t="s">
        <v>262</v>
      </c>
      <c r="V4" s="162" t="s">
        <v>167</v>
      </c>
      <c r="W4" s="162" t="s">
        <v>912</v>
      </c>
      <c r="X4"/>
      <c r="Y4" s="425"/>
      <c r="Z4"/>
      <c r="AB4"/>
      <c r="AC4"/>
      <c r="AD4" s="162"/>
    </row>
    <row r="5" spans="1:31" x14ac:dyDescent="0.25">
      <c r="A5" s="162" t="s">
        <v>45</v>
      </c>
      <c r="B5" s="172" t="s">
        <v>15</v>
      </c>
      <c r="C5" s="172"/>
      <c r="D5" s="172"/>
      <c r="E5" s="175"/>
      <c r="F5" s="172"/>
      <c r="G5" s="172" t="s">
        <v>909</v>
      </c>
      <c r="H5" s="172" t="s">
        <v>113</v>
      </c>
      <c r="I5" s="172"/>
      <c r="J5" t="s">
        <v>73</v>
      </c>
      <c r="K5" s="162" t="s">
        <v>915</v>
      </c>
      <c r="L5" s="172" t="s">
        <v>230</v>
      </c>
      <c r="M5" s="172"/>
      <c r="N5" s="498" t="s">
        <v>107</v>
      </c>
      <c r="O5" s="498"/>
      <c r="P5" s="498"/>
      <c r="Q5" s="498" t="s">
        <v>233</v>
      </c>
      <c r="R5" s="537" t="s">
        <v>234</v>
      </c>
      <c r="S5" s="536"/>
      <c r="T5" s="172" t="s">
        <v>895</v>
      </c>
      <c r="U5" s="162"/>
      <c r="V5" s="172"/>
      <c r="W5"/>
      <c r="Y5" s="425"/>
      <c r="Z5"/>
      <c r="AA5"/>
      <c r="AB5"/>
      <c r="AC5" s="174" t="s">
        <v>228</v>
      </c>
      <c r="AD5"/>
      <c r="AE5"/>
    </row>
    <row r="6" spans="1:31" x14ac:dyDescent="0.25">
      <c r="A6" s="172" t="s">
        <v>903</v>
      </c>
      <c r="B6" s="172" t="s">
        <v>16</v>
      </c>
      <c r="C6" s="172"/>
      <c r="E6" s="175"/>
      <c r="F6" s="172"/>
      <c r="G6" s="172" t="s">
        <v>910</v>
      </c>
      <c r="H6" s="172" t="s">
        <v>117</v>
      </c>
      <c r="I6" s="172"/>
      <c r="J6"/>
      <c r="K6" s="172" t="s">
        <v>249</v>
      </c>
      <c r="L6" s="172" t="s">
        <v>239</v>
      </c>
      <c r="M6" s="172"/>
      <c r="N6" s="498" t="s">
        <v>112</v>
      </c>
      <c r="O6" s="498"/>
      <c r="P6" s="498"/>
      <c r="Q6" s="172"/>
      <c r="R6" s="172"/>
      <c r="S6" s="179"/>
      <c r="T6" s="172" t="s">
        <v>916</v>
      </c>
      <c r="U6" s="162"/>
      <c r="W6"/>
      <c r="X6"/>
      <c r="Y6"/>
      <c r="AA6"/>
      <c r="AB6"/>
      <c r="AC6" s="174" t="s">
        <v>228</v>
      </c>
      <c r="AD6"/>
      <c r="AE6"/>
    </row>
    <row r="7" spans="1:31" x14ac:dyDescent="0.25">
      <c r="A7" s="172" t="s">
        <v>904</v>
      </c>
      <c r="B7" s="172"/>
      <c r="C7" s="172"/>
      <c r="D7" s="172"/>
      <c r="E7" s="175"/>
      <c r="G7" s="172" t="s">
        <v>87</v>
      </c>
      <c r="H7" s="184" t="s">
        <v>122</v>
      </c>
      <c r="I7" s="172"/>
      <c r="J7"/>
      <c r="K7" s="172"/>
      <c r="L7" s="172"/>
      <c r="M7" s="172"/>
      <c r="N7" s="498" t="s">
        <v>244</v>
      </c>
      <c r="O7" s="498"/>
      <c r="P7" s="498"/>
      <c r="Q7" s="172"/>
      <c r="R7" s="165"/>
      <c r="S7"/>
      <c r="T7" s="172" t="s">
        <v>918</v>
      </c>
      <c r="U7" s="172"/>
      <c r="W7"/>
      <c r="X7"/>
      <c r="Y7"/>
      <c r="Z7"/>
      <c r="AA7"/>
      <c r="AB7"/>
      <c r="AC7" s="174" t="s">
        <v>228</v>
      </c>
      <c r="AD7"/>
      <c r="AE7"/>
    </row>
    <row r="8" spans="1:31" x14ac:dyDescent="0.25">
      <c r="A8" s="172" t="s">
        <v>905</v>
      </c>
      <c r="B8" s="172"/>
      <c r="C8" s="172"/>
      <c r="D8" s="172"/>
      <c r="E8" s="172"/>
      <c r="G8" s="172" t="s">
        <v>919</v>
      </c>
      <c r="H8" s="184" t="s">
        <v>126</v>
      </c>
      <c r="I8" s="172"/>
      <c r="J8" s="172"/>
      <c r="K8" s="172"/>
      <c r="L8" s="172"/>
      <c r="M8" s="172"/>
      <c r="N8" s="172"/>
      <c r="O8" s="498"/>
      <c r="P8" s="498"/>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8"/>
      <c r="P9" s="498"/>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8"/>
      <c r="P10" s="498"/>
      <c r="Q10" s="172"/>
      <c r="R10" s="172"/>
      <c r="S10"/>
      <c r="T10" s="172" t="s">
        <v>917</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8"/>
      <c r="P11" s="498"/>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8"/>
      <c r="P12" s="498"/>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8"/>
      <c r="P13" s="498"/>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39" t="s">
        <v>208</v>
      </c>
      <c r="G19" s="188"/>
      <c r="H19" s="188"/>
      <c r="I19" s="189"/>
      <c r="N19"/>
      <c r="O19" s="189"/>
      <c r="P19" s="189"/>
      <c r="R19" s="187"/>
      <c r="S19" s="174"/>
      <c r="T19" s="172"/>
      <c r="U19" s="187"/>
      <c r="V19" s="187"/>
      <c r="W19" s="187"/>
      <c r="X19" s="187"/>
      <c r="Y19" s="187"/>
      <c r="Z19" s="187"/>
      <c r="AA19" s="187"/>
      <c r="AB19" s="187"/>
    </row>
    <row r="20" spans="1:29" ht="15.75" x14ac:dyDescent="0.25">
      <c r="A20" s="540" t="b" cm="1">
        <f t="array" ref="A20">IF(AND(OR(CoreFlex!$O$17=D3),OR(CoreFlex!$O$22=J3:J5)),0)</f>
        <v>0</v>
      </c>
      <c r="B20" s="538"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9"/>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9"/>
      <c r="P31" s="499"/>
      <c r="Q31"/>
      <c r="R31"/>
      <c r="S31"/>
      <c r="T31"/>
      <c r="U31"/>
      <c r="V31"/>
      <c r="W31"/>
      <c r="X31"/>
      <c r="Y31"/>
      <c r="Z31"/>
      <c r="AA31"/>
      <c r="AB31"/>
      <c r="AC31" s="174" t="s">
        <v>228</v>
      </c>
    </row>
    <row r="32" spans="1:29" x14ac:dyDescent="0.25">
      <c r="L32"/>
      <c r="O32" s="499"/>
      <c r="P32" s="499"/>
      <c r="Q32"/>
      <c r="R32"/>
      <c r="S32"/>
      <c r="T32"/>
      <c r="U32" s="193"/>
      <c r="V32"/>
      <c r="W32"/>
      <c r="X32"/>
      <c r="Y32" s="193"/>
      <c r="Z32"/>
      <c r="AA32"/>
      <c r="AB32"/>
    </row>
    <row r="33" spans="1:42" x14ac:dyDescent="0.25">
      <c r="F33" s="193"/>
      <c r="L33" s="193"/>
      <c r="O33" s="499"/>
      <c r="P33" s="499"/>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9"/>
      <c r="P34" s="499"/>
      <c r="T34"/>
      <c r="U34" s="162"/>
      <c r="V34" s="162"/>
      <c r="W34" s="162"/>
      <c r="Y34" s="162"/>
      <c r="Z34" s="162"/>
      <c r="AA34" s="162"/>
      <c r="AG34"/>
      <c r="AH34"/>
      <c r="AI34"/>
      <c r="AJ34"/>
      <c r="AK34"/>
      <c r="AL34"/>
      <c r="AM34"/>
      <c r="AN34"/>
      <c r="AO34" s="174"/>
      <c r="AP34" s="174"/>
    </row>
    <row r="35" spans="1:42" x14ac:dyDescent="0.25">
      <c r="A35" s="171" t="s">
        <v>920</v>
      </c>
      <c r="B35" s="575" t="str">
        <f>IF(CoreFlex!O21=G8,NA(),"")</f>
        <v/>
      </c>
      <c r="C35" s="172"/>
      <c r="D35" s="172"/>
      <c r="O35" s="499"/>
      <c r="P35" s="499"/>
      <c r="T35"/>
      <c r="U35" s="162"/>
      <c r="V35" s="162"/>
      <c r="W35" s="162"/>
      <c r="Y35" s="162"/>
      <c r="Z35" s="162"/>
      <c r="AA35" s="162"/>
      <c r="AG35"/>
      <c r="AH35"/>
      <c r="AI35"/>
      <c r="AJ35"/>
      <c r="AK35"/>
      <c r="AL35"/>
      <c r="AM35"/>
      <c r="AN35"/>
      <c r="AO35" s="174"/>
      <c r="AP35" s="174"/>
    </row>
    <row r="36" spans="1:42" x14ac:dyDescent="0.25">
      <c r="A36" s="194" t="s">
        <v>921</v>
      </c>
      <c r="B36" s="576" t="str">
        <f>IF(AND(CoreFlex!O11=B6,OR(CoreFlex!O22='Feed(CoreFlex)'!J5)),NA(),"")</f>
        <v/>
      </c>
      <c r="C36" s="162" t="s">
        <v>922</v>
      </c>
      <c r="D36" s="172"/>
      <c r="J36" s="172"/>
      <c r="K36" s="172"/>
      <c r="L36" s="172"/>
      <c r="O36" s="498"/>
      <c r="P36" s="498"/>
      <c r="Q36" s="172"/>
      <c r="U36" s="162"/>
      <c r="V36" s="162"/>
      <c r="W36" s="162"/>
      <c r="Y36" s="162"/>
      <c r="Z36" s="162"/>
      <c r="AA36" s="162"/>
      <c r="AI36" s="174"/>
      <c r="AJ36" s="174"/>
      <c r="AK36" s="172"/>
      <c r="AN36" s="174"/>
      <c r="AO36" s="174"/>
      <c r="AP36" s="174"/>
    </row>
    <row r="37" spans="1:42" x14ac:dyDescent="0.25">
      <c r="A37" s="194"/>
      <c r="B37" s="575"/>
      <c r="C37" s="172"/>
      <c r="D37" s="172"/>
      <c r="I37"/>
      <c r="J37"/>
      <c r="K37" s="172"/>
      <c r="O37" s="498"/>
      <c r="P37" s="498"/>
      <c r="Q37" s="172"/>
      <c r="U37" s="162"/>
      <c r="W37" s="162"/>
      <c r="Y37" s="162"/>
      <c r="AA37" s="162"/>
      <c r="AG37" s="172"/>
      <c r="AJ37" s="174"/>
      <c r="AK37" s="174"/>
      <c r="AL37" s="174"/>
      <c r="AM37" s="174"/>
      <c r="AN37" s="174"/>
      <c r="AO37" s="174"/>
      <c r="AP37" s="174"/>
    </row>
    <row r="38" spans="1:42" x14ac:dyDescent="0.25">
      <c r="A38" s="171"/>
      <c r="B38" s="576"/>
      <c r="D38" s="172"/>
      <c r="I38" s="172"/>
      <c r="J38" s="172"/>
      <c r="K38" s="172"/>
      <c r="O38" s="498"/>
      <c r="P38" s="498"/>
      <c r="Q38" s="172"/>
      <c r="U38" s="162"/>
      <c r="V38" s="162"/>
      <c r="W38" s="162"/>
      <c r="Y38" s="162"/>
      <c r="Z38" s="162"/>
      <c r="AA38" s="162"/>
      <c r="AH38"/>
      <c r="AI38" s="174"/>
      <c r="AJ38" s="174"/>
      <c r="AK38" s="174"/>
      <c r="AL38"/>
      <c r="AM38"/>
      <c r="AN38"/>
      <c r="AO38" s="174"/>
      <c r="AP38" s="174"/>
    </row>
    <row r="39" spans="1:42" x14ac:dyDescent="0.25">
      <c r="A39" s="183"/>
      <c r="B39" s="575"/>
      <c r="C39" s="172"/>
      <c r="D39" s="172"/>
      <c r="I39" s="172"/>
      <c r="J39" s="172"/>
      <c r="K39" s="172"/>
      <c r="O39" s="498"/>
      <c r="P39" s="498"/>
      <c r="Q39" s="172"/>
      <c r="U39" s="162"/>
      <c r="W39" s="162"/>
      <c r="Y39" s="162"/>
      <c r="AA39" s="162"/>
      <c r="AG39"/>
      <c r="AH39"/>
      <c r="AI39"/>
      <c r="AJ39"/>
      <c r="AK39"/>
      <c r="AL39"/>
      <c r="AM39"/>
      <c r="AN39"/>
      <c r="AO39" s="174"/>
      <c r="AP39" s="174"/>
    </row>
    <row r="40" spans="1:42" x14ac:dyDescent="0.25">
      <c r="A40" s="183"/>
      <c r="B40" s="575"/>
      <c r="C40" s="195"/>
      <c r="D40" s="172"/>
      <c r="E40" s="172"/>
      <c r="I40" s="172"/>
      <c r="J40" s="172"/>
      <c r="L40"/>
      <c r="O40" s="498"/>
      <c r="P40" s="498"/>
      <c r="Q40" s="172"/>
      <c r="U40" s="162"/>
      <c r="W40" s="162"/>
      <c r="Y40" s="162"/>
      <c r="AA40" s="162"/>
      <c r="AH40"/>
      <c r="AI40"/>
      <c r="AJ40"/>
      <c r="AK40"/>
      <c r="AL40"/>
      <c r="AM40"/>
      <c r="AN40"/>
      <c r="AO40" s="174"/>
      <c r="AP40" s="174"/>
    </row>
    <row r="41" spans="1:42" x14ac:dyDescent="0.25">
      <c r="A41" s="196"/>
      <c r="B41" s="575"/>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76"/>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76"/>
      <c r="D43" s="172"/>
      <c r="K43"/>
      <c r="L43"/>
      <c r="M43"/>
      <c r="N43"/>
      <c r="O43" s="189"/>
      <c r="P43" s="189"/>
      <c r="Q43" s="172"/>
      <c r="R43"/>
      <c r="S43" s="172"/>
      <c r="U43" s="162"/>
      <c r="W43" s="162"/>
      <c r="Y43" s="162"/>
      <c r="AA43" s="162"/>
      <c r="AG43" s="574"/>
      <c r="AH43"/>
      <c r="AI43"/>
      <c r="AJ43"/>
      <c r="AK43"/>
      <c r="AL43"/>
      <c r="AM43"/>
      <c r="AN43"/>
      <c r="AO43" s="174"/>
      <c r="AP43" s="174"/>
    </row>
    <row r="44" spans="1:42" x14ac:dyDescent="0.25">
      <c r="A44" s="171"/>
      <c r="B44" s="577"/>
      <c r="I44"/>
      <c r="J44"/>
      <c r="K44"/>
      <c r="L44"/>
      <c r="O44" s="189"/>
      <c r="P44" s="189"/>
      <c r="Q44" s="172"/>
      <c r="S44" s="172"/>
      <c r="U44" s="162"/>
      <c r="W44" s="162"/>
      <c r="Y44" s="162"/>
      <c r="AA44" s="162"/>
      <c r="AG44" s="574"/>
      <c r="AH44"/>
      <c r="AI44"/>
      <c r="AJ44"/>
      <c r="AK44"/>
      <c r="AL44"/>
      <c r="AM44"/>
      <c r="AN44"/>
      <c r="AO44" s="174"/>
      <c r="AP44" s="174"/>
    </row>
    <row r="45" spans="1:42" x14ac:dyDescent="0.25">
      <c r="A45" s="171"/>
      <c r="B45" s="576"/>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78">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902" t="s">
        <v>619</v>
      </c>
      <c r="C59" s="903"/>
      <c r="D59" s="903"/>
      <c r="E59" s="904"/>
      <c r="F59" s="567"/>
      <c r="G59" s="567"/>
      <c r="I59" s="905" t="s">
        <v>619</v>
      </c>
      <c r="J59" s="906"/>
      <c r="K59" s="906"/>
      <c r="L59" s="906"/>
      <c r="O59" s="189"/>
      <c r="P59" s="189"/>
      <c r="Q59" s="172"/>
      <c r="S59" s="174"/>
      <c r="AH59" s="174"/>
      <c r="AJ59" s="174"/>
      <c r="AK59" s="174"/>
      <c r="AL59" s="174"/>
      <c r="AM59" s="174"/>
      <c r="AN59" s="174"/>
      <c r="AO59" s="174"/>
      <c r="AP59" s="174"/>
    </row>
    <row r="60" spans="1:42" ht="15.75" thickBot="1" x14ac:dyDescent="0.3">
      <c r="B60" s="579" t="s">
        <v>622</v>
      </c>
      <c r="C60" s="580" t="s">
        <v>210</v>
      </c>
      <c r="D60" s="580" t="s">
        <v>221</v>
      </c>
      <c r="E60" s="581" t="s">
        <v>177</v>
      </c>
      <c r="F60" s="570"/>
      <c r="G60" s="205" t="s">
        <v>623</v>
      </c>
      <c r="I60" s="206" t="s">
        <v>622</v>
      </c>
      <c r="J60" s="207" t="s">
        <v>210</v>
      </c>
      <c r="K60" s="207" t="s">
        <v>221</v>
      </c>
      <c r="L60" s="571" t="s">
        <v>177</v>
      </c>
      <c r="M60" s="570"/>
      <c r="N60" s="208">
        <v>0</v>
      </c>
      <c r="O60" s="189"/>
      <c r="P60" s="189"/>
      <c r="S60" s="174"/>
      <c r="AG60" s="174"/>
      <c r="AJ60" s="174"/>
      <c r="AK60" s="174"/>
      <c r="AL60" s="174"/>
      <c r="AM60" s="174"/>
      <c r="AN60" s="174"/>
      <c r="AO60" s="174"/>
      <c r="AP60" s="174"/>
    </row>
    <row r="61" spans="1:42" x14ac:dyDescent="0.25">
      <c r="B61" s="565">
        <f>CoreFlex!B11</f>
        <v>7.5</v>
      </c>
      <c r="C61" s="566">
        <f>CoreFlex!C11</f>
        <v>96.5</v>
      </c>
      <c r="D61" s="566"/>
      <c r="E61" s="566"/>
      <c r="F61" s="564"/>
      <c r="G61" s="399" t="e">
        <f>SUM(CoreFlex!P12:P35)+B46</f>
        <v>#N/A</v>
      </c>
      <c r="H61" s="587">
        <v>1</v>
      </c>
      <c r="I61" s="214">
        <f t="shared" ref="I61:I83" si="0">B61</f>
        <v>7.5</v>
      </c>
      <c r="J61" s="215" t="e">
        <f t="shared" ref="J61:J83" si="1">C61+$G$61</f>
        <v>#N/A</v>
      </c>
      <c r="K61" s="215"/>
      <c r="L61" s="215"/>
      <c r="M61" s="572"/>
      <c r="N61" s="212" cm="1">
        <f t="array" ref="N61:N83">I61:I83</f>
        <v>7.5</v>
      </c>
      <c r="O61" s="189"/>
      <c r="P61" s="189"/>
      <c r="S61" s="174"/>
      <c r="AH61" s="174"/>
      <c r="AJ61" s="174"/>
      <c r="AK61" s="174"/>
      <c r="AL61" s="174"/>
      <c r="AM61" s="174"/>
      <c r="AN61" s="174"/>
      <c r="AO61" s="174"/>
      <c r="AP61" s="174"/>
    </row>
    <row r="62" spans="1:42" x14ac:dyDescent="0.25">
      <c r="B62" s="217">
        <f>CoreFlex!B12</f>
        <v>7.625</v>
      </c>
      <c r="C62" s="218">
        <f>CoreFlex!C12</f>
        <v>96.875</v>
      </c>
      <c r="D62" s="218"/>
      <c r="E62" s="218"/>
      <c r="F62" s="564"/>
      <c r="G62" s="162" t="s">
        <v>626</v>
      </c>
      <c r="H62" s="587">
        <v>2</v>
      </c>
      <c r="I62" s="220">
        <f t="shared" si="0"/>
        <v>7.625</v>
      </c>
      <c r="J62" s="221" t="e">
        <f t="shared" si="1"/>
        <v>#N/A</v>
      </c>
      <c r="K62" s="221"/>
      <c r="L62" s="221"/>
      <c r="M62" s="572"/>
      <c r="N62" s="212">
        <v>7.625</v>
      </c>
      <c r="O62" s="189"/>
      <c r="P62" s="189"/>
      <c r="S62" s="174"/>
      <c r="AH62" s="174"/>
      <c r="AJ62" s="174"/>
      <c r="AK62" s="174"/>
      <c r="AL62" s="174"/>
      <c r="AM62" s="174"/>
      <c r="AN62" s="174"/>
      <c r="AO62" s="174"/>
      <c r="AP62" s="174"/>
    </row>
    <row r="63" spans="1:42" x14ac:dyDescent="0.25">
      <c r="B63" s="217">
        <f>CoreFlex!B13</f>
        <v>7.75</v>
      </c>
      <c r="C63" s="218">
        <f>CoreFlex!C13</f>
        <v>97.25</v>
      </c>
      <c r="D63" s="218"/>
      <c r="E63" s="218"/>
      <c r="F63" s="564"/>
      <c r="G63" s="205" t="s">
        <v>627</v>
      </c>
      <c r="H63" s="587">
        <v>3</v>
      </c>
      <c r="I63" s="220">
        <f t="shared" si="0"/>
        <v>7.75</v>
      </c>
      <c r="J63" s="221" t="e">
        <f t="shared" si="1"/>
        <v>#N/A</v>
      </c>
      <c r="K63" s="221"/>
      <c r="L63" s="221"/>
      <c r="M63" s="572"/>
      <c r="N63" s="212">
        <v>7.75</v>
      </c>
      <c r="O63" s="189"/>
      <c r="P63" s="189"/>
      <c r="S63" s="174"/>
      <c r="AG63" s="425"/>
      <c r="AH63" s="174"/>
      <c r="AJ63" s="174"/>
      <c r="AK63" s="174"/>
      <c r="AL63" s="174"/>
      <c r="AM63" s="174"/>
      <c r="AN63" s="174"/>
      <c r="AO63" s="174"/>
      <c r="AP63" s="174"/>
    </row>
    <row r="64" spans="1:42" ht="15.75" x14ac:dyDescent="0.25">
      <c r="B64" s="217">
        <f>CoreFlex!B14</f>
        <v>7.875</v>
      </c>
      <c r="C64" s="218">
        <f>CoreFlex!C14</f>
        <v>97.625</v>
      </c>
      <c r="D64" s="218"/>
      <c r="E64" s="218"/>
      <c r="F64" s="564"/>
      <c r="G64" s="212" t="e">
        <f>CoreFlex!P40</f>
        <v>#N/A</v>
      </c>
      <c r="H64" s="587">
        <v>4</v>
      </c>
      <c r="I64" s="220">
        <f t="shared" si="0"/>
        <v>7.875</v>
      </c>
      <c r="J64" s="221" t="e">
        <f t="shared" si="1"/>
        <v>#N/A</v>
      </c>
      <c r="K64" s="221"/>
      <c r="L64" s="221"/>
      <c r="M64" s="572"/>
      <c r="N64" s="212">
        <v>7.875</v>
      </c>
      <c r="O64" s="189"/>
      <c r="P64" s="399"/>
      <c r="S64" s="174"/>
      <c r="Y64" s="193"/>
      <c r="AG64" s="448"/>
      <c r="AH64" s="448"/>
      <c r="AI64" s="448"/>
      <c r="AJ64" s="174"/>
      <c r="AK64" s="174"/>
      <c r="AL64" s="174"/>
      <c r="AM64" s="174"/>
      <c r="AN64" s="174"/>
      <c r="AO64" s="174"/>
      <c r="AP64" s="174"/>
    </row>
    <row r="65" spans="2:48" ht="15.75" x14ac:dyDescent="0.25">
      <c r="B65" s="217">
        <f>CoreFlex!B15</f>
        <v>8</v>
      </c>
      <c r="C65" s="218">
        <f>CoreFlex!C15</f>
        <v>98</v>
      </c>
      <c r="D65" s="218"/>
      <c r="E65" s="218"/>
      <c r="F65" s="564"/>
      <c r="H65" s="587">
        <v>5</v>
      </c>
      <c r="I65" s="220">
        <f t="shared" si="0"/>
        <v>8</v>
      </c>
      <c r="J65" s="221" t="e">
        <f t="shared" si="1"/>
        <v>#N/A</v>
      </c>
      <c r="K65" s="221"/>
      <c r="L65" s="221"/>
      <c r="M65" s="572"/>
      <c r="N65" s="212">
        <v>8</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8.125</v>
      </c>
      <c r="C66" s="218">
        <f>CoreFlex!C16</f>
        <v>98.375</v>
      </c>
      <c r="D66" s="218"/>
      <c r="E66" s="218"/>
      <c r="F66" s="564"/>
      <c r="H66" s="587">
        <v>6</v>
      </c>
      <c r="I66" s="220">
        <f t="shared" si="0"/>
        <v>8.125</v>
      </c>
      <c r="J66" s="221" t="e">
        <f t="shared" si="1"/>
        <v>#N/A</v>
      </c>
      <c r="K66" s="221"/>
      <c r="L66" s="221"/>
      <c r="M66" s="572"/>
      <c r="N66" s="212">
        <v>8.125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8.25</v>
      </c>
      <c r="C67" s="218">
        <f>CoreFlex!C17</f>
        <v>98.75</v>
      </c>
      <c r="D67" s="218"/>
      <c r="E67" s="218"/>
      <c r="F67" s="564"/>
      <c r="H67" s="587">
        <v>7</v>
      </c>
      <c r="I67" s="220">
        <f t="shared" si="0"/>
        <v>8.25</v>
      </c>
      <c r="J67" s="221" t="e">
        <f t="shared" si="1"/>
        <v>#N/A</v>
      </c>
      <c r="K67" s="221"/>
      <c r="L67" s="221"/>
      <c r="M67" s="572"/>
      <c r="N67" s="212">
        <v>8.25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8.375</v>
      </c>
      <c r="C68" s="218">
        <f>CoreFlex!C18</f>
        <v>99.125</v>
      </c>
      <c r="D68" s="218"/>
      <c r="E68" s="218"/>
      <c r="F68" s="564"/>
      <c r="G68" s="586" t="s">
        <v>210</v>
      </c>
      <c r="H68" s="587">
        <v>8</v>
      </c>
      <c r="I68" s="220">
        <f t="shared" si="0"/>
        <v>8.375</v>
      </c>
      <c r="J68" s="221" t="e">
        <f t="shared" si="1"/>
        <v>#N/A</v>
      </c>
      <c r="K68" s="221"/>
      <c r="L68" s="221"/>
      <c r="M68" s="572"/>
      <c r="N68" s="212">
        <v>8.375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8.5</v>
      </c>
      <c r="C69" s="218">
        <f>CoreFlex!C19</f>
        <v>99.5</v>
      </c>
      <c r="D69" s="218"/>
      <c r="E69" s="218"/>
      <c r="F69" s="564"/>
      <c r="G69" s="189" t="str">
        <f>DSCR!S17</f>
        <v>DSCR</v>
      </c>
      <c r="H69" s="587">
        <v>9</v>
      </c>
      <c r="I69" s="220">
        <f t="shared" si="0"/>
        <v>8.5</v>
      </c>
      <c r="J69" s="221" t="e">
        <f t="shared" si="1"/>
        <v>#N/A</v>
      </c>
      <c r="K69" s="221"/>
      <c r="L69" s="221"/>
      <c r="M69" s="572"/>
      <c r="N69" s="212">
        <v>8.5</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8.625</v>
      </c>
      <c r="C70" s="218">
        <f>CoreFlex!C20</f>
        <v>99.875</v>
      </c>
      <c r="D70" s="218"/>
      <c r="E70" s="218"/>
      <c r="F70" s="564"/>
      <c r="G70" s="162" t="str">
        <f>IF(DSCR!S24="DSCR 5-8", "DSCR 5-8", "")</f>
        <v/>
      </c>
      <c r="H70" s="587">
        <v>10</v>
      </c>
      <c r="I70" s="220">
        <f t="shared" si="0"/>
        <v>8.625</v>
      </c>
      <c r="J70" s="221" t="e">
        <f t="shared" si="1"/>
        <v>#N/A</v>
      </c>
      <c r="K70" s="221"/>
      <c r="L70" s="221"/>
      <c r="M70" s="572"/>
      <c r="N70" s="212">
        <v>8.625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8.75</v>
      </c>
      <c r="C71" s="218">
        <f>CoreFlex!C21</f>
        <v>100.25</v>
      </c>
      <c r="D71" s="218"/>
      <c r="E71" s="218"/>
      <c r="F71" s="564"/>
      <c r="H71" s="587">
        <v>11</v>
      </c>
      <c r="I71" s="220">
        <f t="shared" si="0"/>
        <v>8.75</v>
      </c>
      <c r="J71" s="221" t="e">
        <f t="shared" si="1"/>
        <v>#N/A</v>
      </c>
      <c r="K71" s="221"/>
      <c r="L71" s="221"/>
      <c r="M71" s="572"/>
      <c r="N71" s="212">
        <v>8.75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8.875</v>
      </c>
      <c r="C72" s="218">
        <f>CoreFlex!C22</f>
        <v>100.5</v>
      </c>
      <c r="D72" s="218"/>
      <c r="E72" s="218"/>
      <c r="F72" s="564"/>
      <c r="H72" s="587">
        <v>12</v>
      </c>
      <c r="I72" s="220">
        <f t="shared" si="0"/>
        <v>8.875</v>
      </c>
      <c r="J72" s="221" t="e">
        <f t="shared" si="1"/>
        <v>#N/A</v>
      </c>
      <c r="K72" s="221"/>
      <c r="L72" s="221"/>
      <c r="M72" s="572"/>
      <c r="N72" s="212">
        <v>8.875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9</v>
      </c>
      <c r="C73" s="218">
        <f>CoreFlex!C23</f>
        <v>100.75</v>
      </c>
      <c r="D73" s="218"/>
      <c r="E73" s="218"/>
      <c r="F73" s="564"/>
      <c r="G73" s="212"/>
      <c r="H73" s="587">
        <v>13</v>
      </c>
      <c r="I73" s="220">
        <f t="shared" si="0"/>
        <v>9</v>
      </c>
      <c r="J73" s="221" t="e">
        <f t="shared" si="1"/>
        <v>#N/A</v>
      </c>
      <c r="K73" s="221"/>
      <c r="L73" s="221"/>
      <c r="M73" s="572"/>
      <c r="N73" s="212">
        <v>9</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9.125</v>
      </c>
      <c r="C74" s="218">
        <f>CoreFlex!C24</f>
        <v>101</v>
      </c>
      <c r="D74" s="218"/>
      <c r="E74" s="218"/>
      <c r="F74" s="564"/>
      <c r="H74" s="587">
        <v>14</v>
      </c>
      <c r="I74" s="220">
        <f t="shared" si="0"/>
        <v>9.125</v>
      </c>
      <c r="J74" s="221" t="e">
        <f t="shared" si="1"/>
        <v>#N/A</v>
      </c>
      <c r="K74" s="221"/>
      <c r="L74" s="221"/>
      <c r="M74" s="572"/>
      <c r="N74" s="212">
        <v>9.125</v>
      </c>
      <c r="O74" s="189"/>
      <c r="P74" s="189"/>
      <c r="S74" s="174"/>
      <c r="Y74" s="162"/>
      <c r="AA74" s="162"/>
      <c r="AG74" s="450"/>
      <c r="AH74" s="450"/>
      <c r="AI74" s="450"/>
      <c r="AM74" s="174"/>
      <c r="AN74" s="174"/>
      <c r="AO74" s="174"/>
      <c r="AP74" s="174"/>
      <c r="AQ74" s="174"/>
      <c r="AR74" s="174"/>
      <c r="AS74" s="174"/>
    </row>
    <row r="75" spans="2:48" ht="15.75" x14ac:dyDescent="0.25">
      <c r="B75" s="217">
        <f>CoreFlex!B25</f>
        <v>9.25</v>
      </c>
      <c r="C75" s="218">
        <f>CoreFlex!C25</f>
        <v>101.25</v>
      </c>
      <c r="D75" s="218"/>
      <c r="E75" s="218"/>
      <c r="F75" s="564"/>
      <c r="H75" s="587">
        <v>15</v>
      </c>
      <c r="I75" s="220">
        <f t="shared" si="0"/>
        <v>9.25</v>
      </c>
      <c r="J75" s="221" t="e">
        <f t="shared" si="1"/>
        <v>#N/A</v>
      </c>
      <c r="K75" s="221"/>
      <c r="L75" s="221"/>
      <c r="M75" s="572"/>
      <c r="N75" s="212">
        <v>9.25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9.375</v>
      </c>
      <c r="C76" s="218">
        <f>CoreFlex!C26</f>
        <v>101.5</v>
      </c>
      <c r="D76" s="218"/>
      <c r="E76" s="218"/>
      <c r="F76" s="564"/>
      <c r="G76" s="212"/>
      <c r="H76" s="587">
        <v>16</v>
      </c>
      <c r="I76" s="220">
        <f t="shared" si="0"/>
        <v>9.375</v>
      </c>
      <c r="J76" s="221" t="e">
        <f t="shared" si="1"/>
        <v>#N/A</v>
      </c>
      <c r="K76" s="221"/>
      <c r="L76" s="221"/>
      <c r="M76" s="572"/>
      <c r="N76" s="212">
        <v>9.375</v>
      </c>
      <c r="O76" s="189"/>
      <c r="P76" s="189"/>
      <c r="S76" s="174"/>
      <c r="Y76" s="162"/>
      <c r="AA76" s="162"/>
      <c r="AG76" s="450"/>
      <c r="AH76" s="450"/>
      <c r="AI76" s="450"/>
      <c r="AK76"/>
      <c r="AL76"/>
      <c r="AM76"/>
      <c r="AN76"/>
      <c r="AO76"/>
      <c r="AP76"/>
      <c r="AQ76"/>
      <c r="AR76"/>
      <c r="AS76"/>
      <c r="AT76"/>
      <c r="AU76"/>
      <c r="AV76"/>
    </row>
    <row r="77" spans="2:48" ht="15.75" x14ac:dyDescent="0.25">
      <c r="B77" s="217">
        <f>CoreFlex!B27</f>
        <v>9.5</v>
      </c>
      <c r="C77" s="218">
        <f>CoreFlex!C27</f>
        <v>101.75</v>
      </c>
      <c r="D77" s="218"/>
      <c r="E77" s="218"/>
      <c r="F77" s="564"/>
      <c r="G77" s="212"/>
      <c r="H77" s="587">
        <v>17</v>
      </c>
      <c r="I77" s="220">
        <f t="shared" si="0"/>
        <v>9.5</v>
      </c>
      <c r="J77" s="221" t="e">
        <f t="shared" si="1"/>
        <v>#N/A</v>
      </c>
      <c r="K77" s="221"/>
      <c r="L77" s="221"/>
      <c r="M77" s="572"/>
      <c r="N77" s="212">
        <v>9.5</v>
      </c>
      <c r="O77" s="189"/>
      <c r="P77" s="189"/>
      <c r="S77" s="174"/>
      <c r="Y77" s="162"/>
      <c r="AA77" s="162"/>
      <c r="AG77" s="450"/>
      <c r="AH77" s="450"/>
      <c r="AI77" s="450"/>
      <c r="AK77"/>
      <c r="AL77"/>
      <c r="AM77"/>
      <c r="AN77"/>
      <c r="AO77"/>
      <c r="AP77"/>
      <c r="AQ77"/>
      <c r="AR77"/>
      <c r="AS77"/>
      <c r="AT77"/>
      <c r="AU77"/>
      <c r="AV77"/>
    </row>
    <row r="78" spans="2:48" ht="15.75" x14ac:dyDescent="0.25">
      <c r="B78" s="217">
        <f>CoreFlex!B28</f>
        <v>9.625</v>
      </c>
      <c r="C78" s="218">
        <f>CoreFlex!C28</f>
        <v>102</v>
      </c>
      <c r="D78" s="218"/>
      <c r="E78" s="218"/>
      <c r="F78" s="564"/>
      <c r="H78" s="587">
        <v>18</v>
      </c>
      <c r="I78" s="225">
        <f t="shared" si="0"/>
        <v>9.625</v>
      </c>
      <c r="J78" s="226" t="e">
        <f t="shared" si="1"/>
        <v>#N/A</v>
      </c>
      <c r="K78" s="226"/>
      <c r="L78" s="226"/>
      <c r="M78" s="572"/>
      <c r="N78" s="212">
        <v>9.625</v>
      </c>
      <c r="O78" s="189"/>
      <c r="P78" s="189"/>
      <c r="S78" s="174"/>
      <c r="Y78" s="162"/>
      <c r="AA78" s="162"/>
      <c r="AG78" s="450"/>
      <c r="AH78" s="450"/>
      <c r="AI78" s="450"/>
      <c r="AK78"/>
      <c r="AL78"/>
      <c r="AM78"/>
      <c r="AN78"/>
      <c r="AO78"/>
      <c r="AP78"/>
      <c r="AQ78"/>
      <c r="AR78"/>
      <c r="AS78"/>
      <c r="AT78"/>
      <c r="AU78"/>
      <c r="AV78"/>
    </row>
    <row r="79" spans="2:48" ht="15.75" x14ac:dyDescent="0.25">
      <c r="B79" s="217">
        <f>CoreFlex!B29</f>
        <v>9.75</v>
      </c>
      <c r="C79" s="218">
        <f>CoreFlex!C29</f>
        <v>102.25</v>
      </c>
      <c r="D79" s="218"/>
      <c r="E79" s="218"/>
      <c r="F79" s="564"/>
      <c r="H79" s="587">
        <v>19</v>
      </c>
      <c r="I79" s="225">
        <f t="shared" si="0"/>
        <v>9.75</v>
      </c>
      <c r="J79" s="226" t="e">
        <f t="shared" si="1"/>
        <v>#N/A</v>
      </c>
      <c r="K79" s="226"/>
      <c r="L79" s="226"/>
      <c r="M79" s="572"/>
      <c r="N79" s="212">
        <v>9.75</v>
      </c>
      <c r="O79" s="189"/>
      <c r="P79" s="189"/>
      <c r="S79" s="174"/>
      <c r="Y79" s="162"/>
      <c r="AA79" s="162"/>
      <c r="AG79" s="450"/>
      <c r="AH79" s="450"/>
      <c r="AI79" s="450"/>
      <c r="AK79"/>
      <c r="AL79"/>
      <c r="AM79"/>
      <c r="AN79"/>
      <c r="AO79"/>
      <c r="AP79"/>
      <c r="AQ79"/>
      <c r="AR79"/>
      <c r="AS79"/>
      <c r="AT79"/>
      <c r="AU79"/>
      <c r="AV79"/>
    </row>
    <row r="80" spans="2:48" ht="15.75" x14ac:dyDescent="0.25">
      <c r="B80" s="217">
        <f>CoreFlex!B30</f>
        <v>0</v>
      </c>
      <c r="C80" s="218">
        <f>CoreFlex!C30</f>
        <v>0</v>
      </c>
      <c r="D80" s="218"/>
      <c r="E80" s="218"/>
      <c r="F80" s="564"/>
      <c r="H80" s="587">
        <v>20</v>
      </c>
      <c r="I80" s="220">
        <f t="shared" si="0"/>
        <v>0</v>
      </c>
      <c r="J80" s="221" t="e">
        <f t="shared" si="1"/>
        <v>#N/A</v>
      </c>
      <c r="K80" s="221"/>
      <c r="L80" s="221"/>
      <c r="M80" s="572"/>
      <c r="N80" s="212">
        <v>0</v>
      </c>
      <c r="O80" s="189"/>
      <c r="P80" s="189"/>
      <c r="S80" s="174"/>
      <c r="Y80" s="162"/>
      <c r="AA80" s="162"/>
      <c r="AG80" s="450"/>
      <c r="AH80" s="450"/>
      <c r="AI80" s="450"/>
      <c r="AK80"/>
      <c r="AL80"/>
      <c r="AM80"/>
      <c r="AN80"/>
      <c r="AO80"/>
      <c r="AP80"/>
      <c r="AQ80"/>
      <c r="AR80"/>
      <c r="AS80"/>
      <c r="AT80"/>
      <c r="AU80"/>
      <c r="AV80"/>
    </row>
    <row r="81" spans="2:48" ht="15.75" x14ac:dyDescent="0.25">
      <c r="B81" s="217">
        <f>CoreFlex!B31</f>
        <v>0</v>
      </c>
      <c r="C81" s="218">
        <f>CoreFlex!C31</f>
        <v>0</v>
      </c>
      <c r="D81" s="218"/>
      <c r="E81" s="218"/>
      <c r="F81" s="564"/>
      <c r="H81" s="587">
        <v>21</v>
      </c>
      <c r="I81" s="220">
        <f t="shared" si="0"/>
        <v>0</v>
      </c>
      <c r="J81" s="221" t="e">
        <f t="shared" si="1"/>
        <v>#N/A</v>
      </c>
      <c r="K81" s="221"/>
      <c r="L81" s="221"/>
      <c r="M81" s="572"/>
      <c r="N81" s="212">
        <v>0</v>
      </c>
      <c r="O81" s="189"/>
      <c r="P81" s="189"/>
      <c r="S81" s="174"/>
      <c r="Y81" s="162"/>
      <c r="AA81" s="162"/>
      <c r="AG81" s="450"/>
      <c r="AH81" s="450"/>
      <c r="AI81" s="450"/>
      <c r="AK81"/>
      <c r="AL81"/>
      <c r="AM81"/>
      <c r="AN81"/>
      <c r="AO81"/>
      <c r="AP81"/>
      <c r="AQ81"/>
      <c r="AR81"/>
      <c r="AS81"/>
      <c r="AT81"/>
      <c r="AU81"/>
      <c r="AV81"/>
    </row>
    <row r="82" spans="2:48" x14ac:dyDescent="0.25">
      <c r="B82" s="217">
        <f>CoreFlex!B32</f>
        <v>0</v>
      </c>
      <c r="C82" s="218">
        <f>CoreFlex!C32</f>
        <v>0</v>
      </c>
      <c r="D82" s="218"/>
      <c r="E82" s="218"/>
      <c r="F82" s="564"/>
      <c r="H82" s="587">
        <v>22</v>
      </c>
      <c r="I82" s="220">
        <f t="shared" si="0"/>
        <v>0</v>
      </c>
      <c r="J82" s="221" t="e">
        <f t="shared" si="1"/>
        <v>#N/A</v>
      </c>
      <c r="K82" s="221"/>
      <c r="L82" s="221"/>
      <c r="M82" s="572"/>
      <c r="N82" s="212">
        <v>0</v>
      </c>
      <c r="O82" s="189"/>
      <c r="P82" s="189"/>
      <c r="S82" s="174"/>
      <c r="Y82" s="162"/>
      <c r="AA82" s="162"/>
      <c r="AK82"/>
      <c r="AL82"/>
      <c r="AM82"/>
      <c r="AN82"/>
      <c r="AO82"/>
      <c r="AP82"/>
      <c r="AQ82"/>
      <c r="AR82"/>
      <c r="AS82"/>
      <c r="AT82"/>
      <c r="AU82"/>
      <c r="AV82"/>
    </row>
    <row r="83" spans="2:48" x14ac:dyDescent="0.25">
      <c r="B83" s="217">
        <f>CoreFlex!B33</f>
        <v>0</v>
      </c>
      <c r="C83" s="218">
        <f>CoreFlex!C33</f>
        <v>0</v>
      </c>
      <c r="D83" s="218"/>
      <c r="E83" s="218"/>
      <c r="F83" s="564"/>
      <c r="H83" s="587">
        <v>23</v>
      </c>
      <c r="I83" s="220">
        <f t="shared" si="0"/>
        <v>0</v>
      </c>
      <c r="J83" s="221" t="e">
        <f t="shared" si="1"/>
        <v>#N/A</v>
      </c>
      <c r="K83" s="221"/>
      <c r="L83" s="221"/>
      <c r="M83" s="572"/>
      <c r="N83" s="212">
        <v>0</v>
      </c>
      <c r="O83" s="189"/>
      <c r="P83" s="189"/>
      <c r="S83" s="174"/>
      <c r="Y83" s="162"/>
      <c r="AA83" s="162"/>
      <c r="AK83"/>
      <c r="AL83"/>
      <c r="AM83"/>
      <c r="AN83"/>
      <c r="AO83"/>
      <c r="AP83"/>
      <c r="AQ83"/>
      <c r="AR83"/>
      <c r="AS83"/>
      <c r="AT83"/>
      <c r="AU83"/>
      <c r="AV83"/>
    </row>
    <row r="84" spans="2:48" x14ac:dyDescent="0.25">
      <c r="B84" s="217"/>
      <c r="C84" s="218"/>
      <c r="D84" s="218"/>
      <c r="E84" s="218"/>
      <c r="F84" s="564"/>
      <c r="H84" s="587"/>
      <c r="I84" s="220"/>
      <c r="J84" s="221"/>
      <c r="K84" s="221"/>
      <c r="L84" s="221"/>
      <c r="M84" s="572"/>
      <c r="N84" s="212"/>
      <c r="O84" s="189"/>
      <c r="P84" s="189"/>
      <c r="S84" s="174"/>
      <c r="Y84" s="162"/>
      <c r="AA84" s="162"/>
      <c r="AK84"/>
      <c r="AL84"/>
      <c r="AM84"/>
      <c r="AN84"/>
      <c r="AO84"/>
      <c r="AP84"/>
      <c r="AQ84"/>
      <c r="AR84"/>
      <c r="AS84"/>
      <c r="AT84"/>
      <c r="AU84"/>
      <c r="AV84"/>
    </row>
    <row r="85" spans="2:48" x14ac:dyDescent="0.25">
      <c r="B85" s="217"/>
      <c r="C85" s="218"/>
      <c r="D85" s="218"/>
      <c r="E85" s="218"/>
      <c r="F85" s="564"/>
      <c r="H85" s="587"/>
      <c r="I85" s="220"/>
      <c r="J85" s="221"/>
      <c r="K85" s="221"/>
      <c r="L85" s="221"/>
      <c r="M85" s="572"/>
      <c r="N85" s="212"/>
      <c r="O85" s="189"/>
      <c r="P85" s="189"/>
      <c r="S85" s="174"/>
      <c r="Y85" s="162"/>
      <c r="AA85" s="162"/>
      <c r="AB85"/>
      <c r="AC85"/>
      <c r="AD85"/>
      <c r="AE85"/>
      <c r="AF85"/>
      <c r="AG85"/>
      <c r="AH85"/>
      <c r="AI85"/>
      <c r="AJ85"/>
      <c r="AK85"/>
      <c r="AL85"/>
      <c r="AM85"/>
      <c r="AN85"/>
    </row>
    <row r="86" spans="2:48" x14ac:dyDescent="0.25">
      <c r="B86" s="217"/>
      <c r="C86" s="218"/>
      <c r="D86" s="218"/>
      <c r="E86" s="218"/>
      <c r="F86" s="564"/>
      <c r="H86" s="587"/>
      <c r="I86" s="220"/>
      <c r="J86" s="221"/>
      <c r="K86" s="221"/>
      <c r="L86" s="221"/>
      <c r="M86" s="572"/>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4"/>
      <c r="H87" s="587"/>
      <c r="I87" s="220"/>
      <c r="J87" s="221"/>
      <c r="K87" s="221"/>
      <c r="L87" s="221"/>
      <c r="M87" s="572"/>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4"/>
      <c r="H88" s="587"/>
      <c r="I88" s="220"/>
      <c r="J88" s="221"/>
      <c r="K88" s="221"/>
      <c r="L88" s="221"/>
      <c r="M88" s="572"/>
      <c r="N88" s="212"/>
      <c r="O88" s="189"/>
      <c r="P88" s="189"/>
      <c r="S88" s="174"/>
      <c r="Y88" s="162"/>
      <c r="Z88" s="162"/>
      <c r="AA88" s="162"/>
      <c r="AB88"/>
      <c r="AC88"/>
      <c r="AD88"/>
      <c r="AE88"/>
      <c r="AF88"/>
      <c r="AG88"/>
      <c r="AH88"/>
      <c r="AI88"/>
      <c r="AJ88"/>
      <c r="AK88"/>
      <c r="AL88"/>
      <c r="AM88"/>
      <c r="AN88"/>
    </row>
    <row r="89" spans="2:48" x14ac:dyDescent="0.25">
      <c r="B89" s="568"/>
      <c r="C89" s="569"/>
      <c r="D89" s="569"/>
      <c r="E89" s="569"/>
      <c r="F89" s="569"/>
      <c r="H89" s="587"/>
      <c r="I89" s="220"/>
      <c r="J89" s="221"/>
      <c r="K89" s="221"/>
      <c r="L89" s="221"/>
      <c r="M89" s="572"/>
      <c r="N89" s="212"/>
      <c r="O89" s="189"/>
      <c r="P89" s="189"/>
      <c r="S89" s="174"/>
      <c r="Y89" s="162"/>
      <c r="Z89" s="162"/>
      <c r="AA89" s="162"/>
      <c r="AB89"/>
      <c r="AC89"/>
      <c r="AD89"/>
      <c r="AE89"/>
      <c r="AF89"/>
      <c r="AG89"/>
      <c r="AH89"/>
      <c r="AI89"/>
      <c r="AJ89"/>
      <c r="AK89"/>
      <c r="AL89"/>
      <c r="AM89"/>
      <c r="AN89"/>
    </row>
    <row r="90" spans="2:48" x14ac:dyDescent="0.25">
      <c r="B90" s="568"/>
      <c r="C90" s="569"/>
      <c r="D90" s="569"/>
      <c r="E90" s="569"/>
      <c r="F90" s="569"/>
      <c r="H90" s="587"/>
      <c r="I90" s="220"/>
      <c r="J90" s="221"/>
      <c r="K90" s="221"/>
      <c r="L90" s="221"/>
      <c r="M90" s="572"/>
      <c r="N90" s="212"/>
      <c r="O90" s="189"/>
      <c r="P90" s="189"/>
      <c r="S90" s="174"/>
      <c r="Y90" s="162"/>
      <c r="AA90" s="162"/>
      <c r="AB90"/>
      <c r="AC90"/>
      <c r="AD90"/>
      <c r="AE90"/>
      <c r="AF90"/>
      <c r="AG90"/>
      <c r="AH90"/>
      <c r="AI90"/>
      <c r="AJ90"/>
      <c r="AK90"/>
      <c r="AL90"/>
      <c r="AM90"/>
      <c r="AN90"/>
    </row>
    <row r="91" spans="2:48" x14ac:dyDescent="0.25">
      <c r="B91" s="568"/>
      <c r="C91" s="569"/>
      <c r="D91" s="569"/>
      <c r="E91" s="569"/>
      <c r="F91" s="569"/>
      <c r="H91" s="587"/>
      <c r="I91" s="220"/>
      <c r="J91" s="221"/>
      <c r="K91" s="221"/>
      <c r="L91" s="221"/>
      <c r="M91" s="572"/>
      <c r="N91" s="212"/>
      <c r="O91" s="189"/>
      <c r="P91" s="189"/>
      <c r="S91" s="174"/>
      <c r="Y91" s="162"/>
      <c r="AA91" s="162"/>
      <c r="AB91"/>
      <c r="AC91"/>
      <c r="AD91"/>
      <c r="AE91"/>
      <c r="AF91"/>
      <c r="AG91"/>
      <c r="AH91"/>
      <c r="AI91"/>
      <c r="AJ91"/>
      <c r="AK91"/>
      <c r="AL91"/>
      <c r="AM91"/>
      <c r="AN91"/>
    </row>
    <row r="92" spans="2:48" x14ac:dyDescent="0.25">
      <c r="B92" s="568"/>
      <c r="C92" s="569"/>
      <c r="D92" s="569"/>
      <c r="E92" s="569"/>
      <c r="F92" s="569"/>
      <c r="H92" s="587"/>
      <c r="I92" s="220"/>
      <c r="J92" s="221"/>
      <c r="K92" s="221"/>
      <c r="L92" s="221"/>
      <c r="M92" s="572"/>
      <c r="N92" s="212"/>
      <c r="O92" s="189"/>
      <c r="P92" s="189"/>
      <c r="S92" s="174"/>
      <c r="Y92" s="162"/>
      <c r="AA92" s="162"/>
      <c r="AB92"/>
      <c r="AC92"/>
      <c r="AD92"/>
      <c r="AE92"/>
      <c r="AF92"/>
      <c r="AG92"/>
      <c r="AH92"/>
      <c r="AI92"/>
      <c r="AJ92"/>
      <c r="AK92"/>
      <c r="AL92"/>
      <c r="AM92"/>
      <c r="AN92"/>
    </row>
    <row r="93" spans="2:48" x14ac:dyDescent="0.25">
      <c r="B93" s="568"/>
      <c r="C93" s="569"/>
      <c r="D93" s="569"/>
      <c r="E93" s="569"/>
      <c r="F93" s="569"/>
      <c r="H93" s="587"/>
      <c r="I93" s="220"/>
      <c r="J93" s="221"/>
      <c r="K93" s="221"/>
      <c r="L93" s="221"/>
      <c r="M93" s="572"/>
      <c r="N93" s="212"/>
      <c r="O93" s="189"/>
      <c r="P93" s="189"/>
      <c r="S93" s="174"/>
      <c r="Y93" s="162"/>
      <c r="AA93" s="162"/>
      <c r="AB93"/>
      <c r="AC93"/>
      <c r="AD93"/>
      <c r="AE93"/>
      <c r="AF93"/>
      <c r="AG93"/>
      <c r="AH93"/>
      <c r="AI93"/>
      <c r="AJ93"/>
      <c r="AK93"/>
      <c r="AL93"/>
      <c r="AM93"/>
      <c r="AN93"/>
    </row>
    <row r="94" spans="2:48" x14ac:dyDescent="0.25">
      <c r="B94" s="568"/>
      <c r="C94" s="569"/>
      <c r="D94" s="569"/>
      <c r="E94" s="569"/>
      <c r="F94" s="569"/>
      <c r="H94" s="587"/>
      <c r="I94" s="220"/>
      <c r="J94" s="221"/>
      <c r="K94" s="221"/>
      <c r="L94" s="221"/>
      <c r="M94" s="572"/>
      <c r="N94" s="212"/>
      <c r="O94" s="189"/>
      <c r="P94" s="189"/>
      <c r="S94" s="174"/>
      <c r="Y94" s="162"/>
      <c r="AA94" s="162"/>
      <c r="AB94"/>
      <c r="AC94"/>
      <c r="AD94"/>
      <c r="AE94"/>
      <c r="AF94"/>
      <c r="AG94"/>
      <c r="AH94"/>
      <c r="AI94"/>
      <c r="AJ94"/>
      <c r="AK94"/>
      <c r="AL94"/>
      <c r="AM94"/>
      <c r="AN94"/>
    </row>
    <row r="95" spans="2:48" x14ac:dyDescent="0.25">
      <c r="B95" s="568"/>
      <c r="C95" s="569"/>
      <c r="D95" s="569"/>
      <c r="E95" s="569"/>
      <c r="F95" s="569"/>
      <c r="H95" s="587"/>
      <c r="I95" s="220"/>
      <c r="J95" s="221"/>
      <c r="K95" s="221"/>
      <c r="L95" s="221"/>
      <c r="M95" s="572"/>
      <c r="N95" s="212"/>
      <c r="O95" s="189"/>
      <c r="P95" s="189"/>
      <c r="S95" s="174"/>
      <c r="Y95" s="162"/>
      <c r="AA95" s="162"/>
      <c r="AB95"/>
      <c r="AC95"/>
      <c r="AD95"/>
      <c r="AE95"/>
      <c r="AF95"/>
      <c r="AG95"/>
      <c r="AH95"/>
      <c r="AI95"/>
      <c r="AJ95"/>
      <c r="AK95"/>
      <c r="AL95"/>
      <c r="AM95"/>
      <c r="AN95"/>
    </row>
    <row r="96" spans="2:48" x14ac:dyDescent="0.25">
      <c r="B96" s="568"/>
      <c r="C96" s="569"/>
      <c r="D96" s="569"/>
      <c r="E96" s="569"/>
      <c r="F96" s="569"/>
      <c r="H96" s="587"/>
      <c r="I96" s="220"/>
      <c r="J96" s="221"/>
      <c r="K96" s="221"/>
      <c r="L96" s="221"/>
      <c r="M96" s="572"/>
      <c r="N96" s="212"/>
      <c r="O96" s="189"/>
      <c r="P96" s="189"/>
      <c r="S96" s="174"/>
      <c r="Y96" s="162"/>
      <c r="AA96" s="162"/>
      <c r="AB96"/>
      <c r="AC96"/>
      <c r="AD96"/>
      <c r="AE96"/>
      <c r="AF96"/>
      <c r="AG96"/>
      <c r="AH96"/>
      <c r="AI96"/>
      <c r="AJ96"/>
      <c r="AK96"/>
      <c r="AL96"/>
      <c r="AM96"/>
      <c r="AN96"/>
    </row>
    <row r="97" spans="2:40" x14ac:dyDescent="0.25">
      <c r="B97" s="568"/>
      <c r="C97" s="569"/>
      <c r="D97" s="569"/>
      <c r="E97" s="569"/>
      <c r="F97" s="569"/>
      <c r="H97" s="587"/>
      <c r="I97" s="220"/>
      <c r="J97" s="221"/>
      <c r="K97" s="221"/>
      <c r="L97" s="221"/>
      <c r="M97" s="572"/>
      <c r="N97" s="212"/>
      <c r="O97" s="189"/>
      <c r="P97" s="189"/>
      <c r="S97" s="174"/>
      <c r="Y97" s="162"/>
      <c r="AA97" s="162"/>
      <c r="AB97"/>
      <c r="AC97"/>
      <c r="AD97"/>
      <c r="AE97"/>
      <c r="AF97"/>
      <c r="AG97"/>
      <c r="AH97"/>
      <c r="AI97"/>
      <c r="AJ97"/>
      <c r="AK97"/>
      <c r="AL97"/>
      <c r="AM97"/>
      <c r="AN97"/>
    </row>
    <row r="98" spans="2:40" x14ac:dyDescent="0.25">
      <c r="B98" s="568"/>
      <c r="C98" s="569"/>
      <c r="D98" s="569"/>
      <c r="E98" s="569"/>
      <c r="F98" s="569"/>
      <c r="H98" s="587"/>
      <c r="I98" s="220"/>
      <c r="J98" s="221"/>
      <c r="K98" s="221"/>
      <c r="L98" s="221"/>
      <c r="M98" s="572"/>
      <c r="N98" s="212"/>
      <c r="O98" s="189"/>
      <c r="P98" s="399"/>
      <c r="S98" s="174"/>
      <c r="Y98" s="162"/>
      <c r="AA98" s="162"/>
      <c r="AB98"/>
      <c r="AC98"/>
      <c r="AD98"/>
      <c r="AE98"/>
      <c r="AF98"/>
      <c r="AG98"/>
      <c r="AH98"/>
      <c r="AI98"/>
      <c r="AJ98"/>
      <c r="AK98"/>
      <c r="AL98"/>
      <c r="AM98"/>
      <c r="AN98"/>
    </row>
    <row r="99" spans="2:40" x14ac:dyDescent="0.25">
      <c r="B99" s="568"/>
      <c r="C99" s="569"/>
      <c r="D99" s="569"/>
      <c r="E99" s="569"/>
      <c r="F99" s="569"/>
      <c r="H99" s="587"/>
      <c r="I99" s="220"/>
      <c r="J99" s="221"/>
      <c r="K99" s="221"/>
      <c r="L99" s="221"/>
      <c r="M99" s="572"/>
      <c r="N99" s="212"/>
      <c r="O99" s="189"/>
      <c r="P99" s="189"/>
      <c r="S99" s="174"/>
      <c r="Y99" s="162"/>
      <c r="AA99" s="162"/>
      <c r="AB99"/>
      <c r="AC99"/>
      <c r="AD99"/>
      <c r="AE99"/>
      <c r="AF99"/>
      <c r="AG99"/>
      <c r="AH99"/>
      <c r="AI99"/>
      <c r="AJ99"/>
      <c r="AK99"/>
      <c r="AL99"/>
      <c r="AM99"/>
      <c r="AN99"/>
    </row>
    <row r="100" spans="2:40" x14ac:dyDescent="0.25">
      <c r="B100" s="568"/>
      <c r="C100" s="569"/>
      <c r="D100" s="569"/>
      <c r="E100" s="569"/>
      <c r="F100" s="569"/>
      <c r="H100" s="587"/>
      <c r="I100" s="220"/>
      <c r="J100" s="221"/>
      <c r="K100" s="221"/>
      <c r="L100" s="221"/>
      <c r="M100" s="572"/>
      <c r="N100" s="212"/>
      <c r="O100" s="189"/>
      <c r="P100" s="189"/>
      <c r="S100" s="174"/>
      <c r="Y100" s="162"/>
      <c r="AA100" s="162"/>
      <c r="AB100"/>
      <c r="AC100"/>
      <c r="AD100"/>
      <c r="AE100"/>
      <c r="AF100"/>
      <c r="AG100"/>
      <c r="AH100"/>
      <c r="AI100"/>
      <c r="AJ100"/>
      <c r="AK100"/>
      <c r="AL100"/>
      <c r="AM100"/>
      <c r="AN100"/>
    </row>
    <row r="101" spans="2:40" ht="15" customHeight="1" x14ac:dyDescent="0.25">
      <c r="B101" s="563"/>
      <c r="C101" s="564"/>
      <c r="D101" s="564"/>
      <c r="E101" s="564"/>
      <c r="F101" s="564"/>
      <c r="H101" s="587"/>
      <c r="I101" s="220"/>
      <c r="J101" s="221"/>
      <c r="K101" s="221"/>
      <c r="L101" s="221"/>
      <c r="M101" s="572"/>
      <c r="N101" s="212"/>
      <c r="O101" s="189"/>
      <c r="P101" s="189"/>
      <c r="S101" s="174"/>
      <c r="Y101" s="162"/>
      <c r="AA101" s="199"/>
      <c r="AB101"/>
      <c r="AC101"/>
      <c r="AD101"/>
      <c r="AE101"/>
      <c r="AF101"/>
      <c r="AG101"/>
      <c r="AH101"/>
      <c r="AI101"/>
      <c r="AJ101"/>
      <c r="AK101"/>
      <c r="AL101"/>
      <c r="AM101"/>
      <c r="AN101"/>
    </row>
    <row r="102" spans="2:40" x14ac:dyDescent="0.25">
      <c r="B102" s="563"/>
      <c r="C102" s="564"/>
      <c r="D102" s="564"/>
      <c r="E102" s="564"/>
      <c r="F102" s="564"/>
      <c r="H102" s="587"/>
      <c r="I102" s="220"/>
      <c r="J102" s="221"/>
      <c r="K102" s="221"/>
      <c r="L102" s="221"/>
      <c r="M102" s="572"/>
      <c r="N102" s="212"/>
      <c r="O102" s="189"/>
      <c r="P102" s="500"/>
      <c r="S102" s="174"/>
      <c r="Y102" s="162"/>
      <c r="AA102" s="162"/>
      <c r="AB102"/>
      <c r="AC102"/>
      <c r="AD102"/>
      <c r="AE102"/>
      <c r="AF102"/>
      <c r="AG102"/>
      <c r="AH102"/>
      <c r="AI102"/>
      <c r="AJ102"/>
      <c r="AK102"/>
      <c r="AL102"/>
      <c r="AM102"/>
      <c r="AN102"/>
    </row>
    <row r="103" spans="2:40" x14ac:dyDescent="0.25">
      <c r="B103" s="563"/>
      <c r="C103" s="564"/>
      <c r="D103" s="564"/>
      <c r="E103" s="564"/>
      <c r="F103" s="564"/>
      <c r="H103" s="587"/>
      <c r="I103" s="220"/>
      <c r="J103" s="221"/>
      <c r="K103" s="221"/>
      <c r="L103" s="221"/>
      <c r="M103" s="572"/>
      <c r="O103" s="499"/>
      <c r="P103" s="499"/>
      <c r="S103" s="174"/>
      <c r="AA103"/>
      <c r="AB103"/>
      <c r="AC103"/>
      <c r="AD103"/>
      <c r="AE103"/>
      <c r="AF103"/>
      <c r="AG103"/>
      <c r="AH103"/>
      <c r="AI103"/>
      <c r="AJ103"/>
      <c r="AK103"/>
      <c r="AL103"/>
      <c r="AM103"/>
      <c r="AN103"/>
    </row>
    <row r="104" spans="2:40" ht="15.75" thickBot="1" x14ac:dyDescent="0.3">
      <c r="M104"/>
      <c r="O104" s="499"/>
      <c r="P104" s="499"/>
      <c r="S104" s="174"/>
      <c r="AA104"/>
      <c r="AB104"/>
      <c r="AC104"/>
      <c r="AD104"/>
      <c r="AE104"/>
      <c r="AF104"/>
      <c r="AG104"/>
      <c r="AH104"/>
      <c r="AI104"/>
      <c r="AJ104"/>
      <c r="AK104"/>
      <c r="AL104"/>
      <c r="AM104"/>
      <c r="AN104"/>
    </row>
    <row r="105" spans="2:40" ht="15.75" x14ac:dyDescent="0.25">
      <c r="G105" s="162" t="s">
        <v>634</v>
      </c>
      <c r="I105" s="589"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9"/>
      <c r="P105" s="499"/>
      <c r="Q105"/>
      <c r="S105" s="174"/>
      <c r="AA105"/>
      <c r="AB105"/>
      <c r="AC105"/>
      <c r="AD105"/>
      <c r="AE105"/>
      <c r="AF105"/>
      <c r="AG105"/>
      <c r="AH105"/>
      <c r="AI105"/>
      <c r="AJ105"/>
      <c r="AK105"/>
      <c r="AL105"/>
      <c r="AM105"/>
      <c r="AN105"/>
    </row>
    <row r="106" spans="2:40" ht="15.75" x14ac:dyDescent="0.25">
      <c r="H106" s="162" t="s">
        <v>635</v>
      </c>
      <c r="I106" s="590" t="e">
        <f ca="1">VLOOKUP(I105,H61:I83,2,FALSE)</f>
        <v>#N/A</v>
      </c>
      <c r="J106" s="233"/>
      <c r="K106" s="588"/>
      <c r="L106" s="234"/>
      <c r="O106" s="499"/>
      <c r="P106" s="499"/>
      <c r="S106" s="174"/>
      <c r="AA106"/>
      <c r="AB106"/>
      <c r="AC106"/>
      <c r="AD106"/>
      <c r="AE106"/>
      <c r="AF106"/>
      <c r="AG106"/>
      <c r="AH106"/>
      <c r="AI106"/>
      <c r="AJ106"/>
      <c r="AK106"/>
      <c r="AL106"/>
      <c r="AM106"/>
      <c r="AN106"/>
    </row>
    <row r="107" spans="2:40" ht="16.5" thickBot="1" x14ac:dyDescent="0.3">
      <c r="B107"/>
      <c r="C107"/>
      <c r="D107"/>
      <c r="E107"/>
      <c r="F107"/>
      <c r="I107" s="591" t="e">
        <f ca="1">IF(G68=J60,I106,0)</f>
        <v>#N/A</v>
      </c>
      <c r="J107" s="236"/>
      <c r="K107" s="188"/>
      <c r="L107" s="237"/>
      <c r="N107"/>
      <c r="O107" s="499"/>
      <c r="P107" s="499"/>
      <c r="S107" s="174"/>
      <c r="AA107"/>
      <c r="AB107"/>
      <c r="AC107"/>
      <c r="AD107"/>
      <c r="AE107"/>
      <c r="AF107"/>
      <c r="AG107"/>
      <c r="AH107"/>
      <c r="AI107"/>
      <c r="AJ107"/>
      <c r="AK107"/>
      <c r="AL107"/>
      <c r="AM107"/>
      <c r="AN107"/>
    </row>
    <row r="108" spans="2:40" ht="15.75" x14ac:dyDescent="0.25">
      <c r="B108" s="852" t="str">
        <f>NonQM!S55</f>
        <v>Max Price</v>
      </c>
      <c r="C108" s="853"/>
      <c r="D108" s="853"/>
      <c r="E108" s="238" t="s">
        <v>636</v>
      </c>
      <c r="F108"/>
      <c r="I108" s="590" t="e">
        <f ca="1">VLOOKUP(I105,H61:J104,3,FALSE)</f>
        <v>#N/A</v>
      </c>
      <c r="J108" s="233"/>
      <c r="K108" s="233"/>
      <c r="L108" s="239"/>
      <c r="N108"/>
      <c r="O108" s="499"/>
      <c r="P108" s="499"/>
      <c r="S108" s="174"/>
      <c r="AA108"/>
      <c r="AB108"/>
      <c r="AC108"/>
      <c r="AD108"/>
      <c r="AE108"/>
      <c r="AF108"/>
      <c r="AG108"/>
      <c r="AH108"/>
      <c r="AI108"/>
      <c r="AJ108"/>
      <c r="AK108"/>
      <c r="AL108"/>
      <c r="AM108"/>
      <c r="AN108"/>
    </row>
    <row r="109" spans="2:40" ht="16.5" thickBot="1" x14ac:dyDescent="0.3">
      <c r="B109" s="907" t="str">
        <f>CoreFlex!B48</f>
        <v>30 Year Fixed Only</v>
      </c>
      <c r="C109" s="908"/>
      <c r="D109" s="562">
        <f>CoreFlex!B46</f>
        <v>99.5</v>
      </c>
      <c r="E109" s="582">
        <f>IF(OR(CoreFlex!O23=L3),D109,"")</f>
        <v>99.5</v>
      </c>
      <c r="F109"/>
      <c r="I109" s="592" t="e">
        <f ca="1">IF(G68=J60,I108,0)</f>
        <v>#N/A</v>
      </c>
      <c r="J109" s="244"/>
      <c r="K109" s="244"/>
      <c r="L109" s="246"/>
      <c r="N109" s="212" t="e">
        <f ca="1">SUM(I107:L107)</f>
        <v>#N/A</v>
      </c>
      <c r="O109" s="499"/>
      <c r="P109" s="499"/>
      <c r="S109" s="174"/>
      <c r="AA109"/>
      <c r="AB109"/>
      <c r="AC109"/>
      <c r="AD109"/>
      <c r="AE109"/>
      <c r="AF109"/>
      <c r="AG109"/>
      <c r="AH109"/>
      <c r="AI109"/>
      <c r="AJ109"/>
      <c r="AK109"/>
      <c r="AL109"/>
      <c r="AM109"/>
      <c r="AN109"/>
    </row>
    <row r="110" spans="2:40" x14ac:dyDescent="0.25">
      <c r="B110" s="841"/>
      <c r="C110" s="842"/>
      <c r="D110" s="546"/>
      <c r="E110" s="583"/>
      <c r="F110"/>
      <c r="O110" s="189"/>
      <c r="P110" s="189"/>
      <c r="S110" s="174"/>
      <c r="AA110"/>
      <c r="AB110"/>
      <c r="AC110"/>
      <c r="AD110"/>
      <c r="AE110"/>
      <c r="AF110"/>
      <c r="AG110"/>
      <c r="AH110"/>
      <c r="AI110"/>
      <c r="AJ110"/>
      <c r="AK110"/>
      <c r="AL110"/>
      <c r="AM110"/>
      <c r="AN110"/>
    </row>
    <row r="111" spans="2:40" x14ac:dyDescent="0.25">
      <c r="B111" s="841"/>
      <c r="C111" s="842"/>
      <c r="D111" s="546"/>
      <c r="E111" s="583"/>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41"/>
      <c r="C112" s="842"/>
      <c r="D112" s="546"/>
      <c r="E112" s="583"/>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41"/>
      <c r="C113" s="842"/>
      <c r="D113" s="546"/>
      <c r="E113" s="583"/>
      <c r="F113"/>
      <c r="G113"/>
      <c r="H113"/>
      <c r="I113" s="845" t="s">
        <v>637</v>
      </c>
      <c r="J113" s="846"/>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41"/>
      <c r="C114" s="842"/>
      <c r="D114" s="546"/>
      <c r="E114" s="583"/>
      <c r="F114"/>
      <c r="G114"/>
      <c r="H114"/>
      <c r="I114" s="850"/>
      <c r="J114" s="851"/>
      <c r="K114" s="249"/>
      <c r="L114" s="250"/>
      <c r="M114"/>
      <c r="O114" s="189"/>
      <c r="P114" s="189"/>
      <c r="S114" s="174"/>
      <c r="X114"/>
      <c r="Y114"/>
      <c r="Z114"/>
      <c r="AA114"/>
      <c r="AB114"/>
      <c r="AC114"/>
      <c r="AD114"/>
      <c r="AE114"/>
      <c r="AF114"/>
      <c r="AG114"/>
      <c r="AH114"/>
      <c r="AI114"/>
      <c r="AJ114"/>
      <c r="AK114"/>
    </row>
    <row r="115" spans="2:37" x14ac:dyDescent="0.25">
      <c r="B115" s="841"/>
      <c r="C115" s="842"/>
      <c r="D115" s="546"/>
      <c r="E115" s="583"/>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41"/>
      <c r="C116" s="842"/>
      <c r="D116" s="547"/>
      <c r="E116" s="583"/>
      <c r="F116"/>
      <c r="G116"/>
      <c r="H116"/>
      <c r="I116"/>
      <c r="J116"/>
      <c r="K116"/>
      <c r="L116"/>
      <c r="M116"/>
      <c r="O116" s="189"/>
      <c r="P116" s="189"/>
      <c r="S116" s="174"/>
      <c r="X116"/>
      <c r="Y116"/>
      <c r="Z116"/>
      <c r="AA116"/>
      <c r="AB116"/>
      <c r="AC116"/>
      <c r="AD116"/>
      <c r="AE116"/>
      <c r="AF116"/>
      <c r="AG116"/>
      <c r="AH116"/>
      <c r="AI116"/>
      <c r="AJ116"/>
      <c r="AK116"/>
    </row>
    <row r="117" spans="2:37" x14ac:dyDescent="0.25">
      <c r="B117" s="841"/>
      <c r="C117" s="842"/>
      <c r="D117" s="547"/>
      <c r="E117" s="583"/>
      <c r="F117"/>
      <c r="G117"/>
      <c r="H117"/>
      <c r="I117"/>
      <c r="J117"/>
      <c r="K117"/>
      <c r="L117"/>
      <c r="M117"/>
      <c r="O117" s="189"/>
      <c r="P117" s="189"/>
      <c r="S117" s="174"/>
      <c r="X117"/>
      <c r="Y117"/>
      <c r="Z117"/>
      <c r="AA117"/>
      <c r="AB117"/>
      <c r="AC117"/>
      <c r="AD117"/>
      <c r="AE117"/>
      <c r="AF117"/>
      <c r="AG117"/>
      <c r="AH117"/>
      <c r="AI117"/>
      <c r="AJ117"/>
      <c r="AK117"/>
    </row>
    <row r="118" spans="2:37" x14ac:dyDescent="0.25">
      <c r="B118" s="841"/>
      <c r="C118" s="842"/>
      <c r="D118" s="547"/>
      <c r="E118" s="583"/>
      <c r="F118"/>
      <c r="G118"/>
      <c r="H118"/>
      <c r="I118"/>
      <c r="J118"/>
      <c r="K118"/>
      <c r="L118"/>
      <c r="M118"/>
      <c r="O118" s="189"/>
      <c r="P118" s="189"/>
      <c r="S118" s="174"/>
      <c r="X118"/>
      <c r="Y118"/>
      <c r="Z118"/>
      <c r="AA118"/>
      <c r="AB118"/>
      <c r="AC118"/>
      <c r="AD118"/>
      <c r="AE118"/>
      <c r="AF118"/>
      <c r="AG118"/>
      <c r="AH118"/>
      <c r="AI118"/>
      <c r="AJ118"/>
      <c r="AK118"/>
    </row>
    <row r="119" spans="2:37" x14ac:dyDescent="0.25">
      <c r="B119" s="841"/>
      <c r="C119" s="842"/>
      <c r="D119" s="547"/>
      <c r="E119" s="583"/>
      <c r="F119"/>
      <c r="G119"/>
      <c r="H119"/>
      <c r="I119"/>
      <c r="J119"/>
      <c r="K119"/>
      <c r="L119"/>
      <c r="M119"/>
      <c r="O119" s="189"/>
      <c r="P119" s="189"/>
      <c r="S119" s="174"/>
    </row>
    <row r="120" spans="2:37" x14ac:dyDescent="0.25">
      <c r="B120" s="841"/>
      <c r="C120" s="842"/>
      <c r="D120" s="547"/>
      <c r="E120" s="583"/>
      <c r="F120"/>
      <c r="G120"/>
      <c r="H120"/>
      <c r="I120"/>
      <c r="J120"/>
      <c r="K120"/>
      <c r="L120"/>
      <c r="M120"/>
      <c r="O120" s="189"/>
      <c r="P120" s="189"/>
      <c r="S120" s="174"/>
    </row>
    <row r="121" spans="2:37" x14ac:dyDescent="0.25">
      <c r="B121" s="841"/>
      <c r="C121" s="842"/>
      <c r="D121" s="547"/>
      <c r="E121" s="584"/>
      <c r="F121"/>
      <c r="G121"/>
      <c r="H121"/>
      <c r="I121"/>
      <c r="J121"/>
      <c r="K121"/>
      <c r="L121"/>
      <c r="M121"/>
      <c r="O121" s="189"/>
      <c r="P121" s="189"/>
      <c r="S121" s="174"/>
    </row>
    <row r="122" spans="2:37" x14ac:dyDescent="0.25">
      <c r="B122" s="841"/>
      <c r="C122" s="842"/>
      <c r="D122" s="547"/>
      <c r="E122" s="584"/>
      <c r="F122"/>
      <c r="G122"/>
      <c r="H122"/>
      <c r="I122"/>
      <c r="J122"/>
      <c r="K122"/>
      <c r="L122"/>
      <c r="M122"/>
      <c r="O122" s="189"/>
      <c r="P122" s="189"/>
      <c r="S122" s="174"/>
    </row>
    <row r="123" spans="2:37" x14ac:dyDescent="0.25">
      <c r="B123" s="841"/>
      <c r="C123" s="842"/>
      <c r="D123" s="547"/>
      <c r="E123" s="583"/>
      <c r="F123"/>
      <c r="G123"/>
      <c r="H123"/>
      <c r="I123"/>
      <c r="J123"/>
      <c r="K123"/>
      <c r="L123"/>
      <c r="M123"/>
      <c r="O123" s="189"/>
      <c r="P123" s="189"/>
      <c r="S123" s="174"/>
    </row>
    <row r="124" spans="2:37" x14ac:dyDescent="0.25">
      <c r="B124" s="240"/>
      <c r="C124" s="241"/>
      <c r="D124" s="547"/>
      <c r="E124" s="583"/>
      <c r="F124"/>
      <c r="G124"/>
      <c r="H124"/>
      <c r="I124"/>
      <c r="J124"/>
      <c r="K124"/>
      <c r="L124"/>
      <c r="M124"/>
      <c r="O124" s="189"/>
      <c r="P124" s="189"/>
      <c r="S124" s="174"/>
    </row>
    <row r="125" spans="2:37" ht="15.75" thickBot="1" x14ac:dyDescent="0.3">
      <c r="B125" s="509"/>
      <c r="C125" s="510"/>
      <c r="D125" s="548"/>
      <c r="E125" s="585"/>
      <c r="F125"/>
      <c r="G125"/>
      <c r="H125"/>
      <c r="I125"/>
      <c r="J125"/>
      <c r="K125"/>
      <c r="L125"/>
      <c r="M125"/>
      <c r="O125" s="189"/>
      <c r="P125" s="189"/>
      <c r="S125" s="174"/>
    </row>
    <row r="126" spans="2:37" ht="15.75" thickBot="1" x14ac:dyDescent="0.3">
      <c r="D126" s="172" t="s">
        <v>639</v>
      </c>
      <c r="E126" s="549">
        <f>IF(E125&lt;&gt;"",E125,IF(E123&lt;&gt;"",E123,MIN(E109:E122)))</f>
        <v>99.5</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0" t="s">
        <v>140</v>
      </c>
      <c r="C128" s="551"/>
      <c r="D128" s="552"/>
      <c r="E128" s="553" t="s">
        <v>636</v>
      </c>
      <c r="F128"/>
      <c r="G128"/>
      <c r="H128"/>
      <c r="I128"/>
      <c r="J128"/>
      <c r="K128"/>
      <c r="L128"/>
      <c r="M128"/>
      <c r="O128" s="189"/>
      <c r="P128" s="189"/>
      <c r="S128" s="174"/>
    </row>
    <row r="129" spans="2:23" x14ac:dyDescent="0.25">
      <c r="B129" s="554"/>
      <c r="C129" s="555"/>
      <c r="D129" s="556"/>
      <c r="E129" s="560"/>
      <c r="F129"/>
      <c r="G129"/>
      <c r="H129"/>
      <c r="I129"/>
      <c r="J129"/>
      <c r="K129"/>
      <c r="L129"/>
      <c r="M129"/>
      <c r="O129" s="189"/>
      <c r="P129" s="189"/>
      <c r="S129" s="174"/>
    </row>
    <row r="130" spans="2:23" ht="15.75" thickBot="1" x14ac:dyDescent="0.3">
      <c r="B130" s="557"/>
      <c r="C130" s="558"/>
      <c r="D130" s="559"/>
      <c r="E130" s="561"/>
      <c r="F130"/>
      <c r="G130"/>
      <c r="H130"/>
      <c r="I130"/>
      <c r="J130"/>
      <c r="K130"/>
      <c r="L130"/>
      <c r="M130"/>
      <c r="O130" s="189"/>
      <c r="P130" s="189"/>
      <c r="S130" s="174"/>
    </row>
    <row r="131" spans="2:23" ht="15.75" thickBot="1" x14ac:dyDescent="0.3">
      <c r="D131" s="172" t="s">
        <v>639</v>
      </c>
      <c r="E131" s="549">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3" t="s">
        <v>767</v>
      </c>
      <c r="C139" s="174"/>
      <c r="D139" s="174"/>
      <c r="E139" s="174"/>
    </row>
    <row r="140" spans="2:23" ht="35.25" customHeight="1" x14ac:dyDescent="0.25">
      <c r="B140" s="573" t="s">
        <v>32</v>
      </c>
      <c r="C140" s="573" t="s">
        <v>767</v>
      </c>
      <c r="D140" s="550"/>
      <c r="E140" s="550"/>
    </row>
    <row r="141" spans="2:23" ht="40.5" x14ac:dyDescent="0.25">
      <c r="B141" s="541" t="s">
        <v>768</v>
      </c>
      <c r="C141" s="541" t="s">
        <v>768</v>
      </c>
      <c r="D141" s="476" t="s">
        <v>779</v>
      </c>
      <c r="E141" s="544">
        <v>0</v>
      </c>
    </row>
    <row r="142" spans="2:23" ht="40.5" x14ac:dyDescent="0.25">
      <c r="B142" s="541" t="s">
        <v>769</v>
      </c>
      <c r="C142" s="541" t="s">
        <v>769</v>
      </c>
      <c r="D142" s="476" t="s">
        <v>780</v>
      </c>
      <c r="E142" s="544">
        <v>0.15</v>
      </c>
    </row>
    <row r="143" spans="2:23" ht="40.5" x14ac:dyDescent="0.25">
      <c r="B143" s="541" t="s">
        <v>770</v>
      </c>
      <c r="C143" s="541" t="s">
        <v>770</v>
      </c>
      <c r="D143" s="476" t="s">
        <v>781</v>
      </c>
      <c r="E143" s="544">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646</v>
      </c>
      <c r="O1" s="654"/>
      <c r="P1" s="654"/>
      <c r="Q1" s="2"/>
      <c r="R1" s="655"/>
      <c r="S1" s="655"/>
      <c r="T1" s="2"/>
      <c r="U1" s="2"/>
      <c r="V1" s="3"/>
    </row>
    <row r="2" spans="1:25" ht="17.45" customHeight="1" x14ac:dyDescent="0.25">
      <c r="N2" s="656" t="s">
        <v>1</v>
      </c>
      <c r="O2" s="656"/>
      <c r="P2" s="656"/>
      <c r="Q2" s="4"/>
      <c r="R2" s="657"/>
      <c r="S2" s="657"/>
      <c r="T2" s="2"/>
      <c r="U2" s="2"/>
      <c r="V2" s="3"/>
    </row>
    <row r="3" spans="1:25" ht="17.45" customHeight="1" x14ac:dyDescent="0.25">
      <c r="N3" s="656" t="s">
        <v>2</v>
      </c>
      <c r="O3" s="656"/>
      <c r="P3" s="656"/>
      <c r="Q3" s="4"/>
      <c r="R3" s="657"/>
      <c r="S3" s="657"/>
      <c r="T3" s="4"/>
      <c r="U3" s="4"/>
    </row>
    <row r="4" spans="1:25" ht="17.45" customHeight="1" x14ac:dyDescent="0.25">
      <c r="F4" s="5"/>
      <c r="M4" s="6"/>
      <c r="N4" s="7"/>
      <c r="O4" s="7"/>
      <c r="P4" s="7"/>
      <c r="Q4" s="8"/>
      <c r="R4" s="4"/>
      <c r="S4" s="4"/>
      <c r="T4" s="4"/>
      <c r="U4" s="4"/>
    </row>
    <row r="5" spans="1:25" ht="17.45" customHeight="1" thickBot="1" x14ac:dyDescent="0.3">
      <c r="L5" s="9"/>
      <c r="M5" s="665" t="s">
        <v>3</v>
      </c>
      <c r="N5" s="665"/>
      <c r="O5" s="666">
        <v>45869</v>
      </c>
      <c r="P5" s="666"/>
      <c r="Q5" s="8"/>
      <c r="T5" s="3"/>
      <c r="U5" s="3"/>
    </row>
    <row r="6" spans="1:25" ht="17.45" customHeight="1" x14ac:dyDescent="0.25">
      <c r="A6" s="275"/>
      <c r="B6" s="974" t="s">
        <v>4</v>
      </c>
      <c r="C6" s="975"/>
      <c r="D6" s="277"/>
      <c r="E6" s="278"/>
      <c r="F6" s="978" t="s">
        <v>647</v>
      </c>
      <c r="G6" s="979"/>
      <c r="H6" s="979"/>
      <c r="I6" s="979"/>
      <c r="J6" s="979"/>
      <c r="K6" s="979"/>
      <c r="L6" s="979"/>
      <c r="M6" s="979"/>
      <c r="N6" s="979"/>
      <c r="O6" s="979"/>
      <c r="P6" s="980"/>
      <c r="Q6" s="277"/>
      <c r="R6" s="276"/>
      <c r="S6" s="978" t="s">
        <v>6</v>
      </c>
      <c r="T6" s="979"/>
      <c r="U6" s="979"/>
      <c r="V6" s="980"/>
      <c r="W6" s="276"/>
    </row>
    <row r="7" spans="1:25" ht="17.45" customHeight="1" thickBot="1" x14ac:dyDescent="0.3">
      <c r="A7" s="275"/>
      <c r="B7" s="976"/>
      <c r="C7" s="977"/>
      <c r="D7" s="277"/>
      <c r="E7" s="278"/>
      <c r="F7" s="981"/>
      <c r="G7" s="982"/>
      <c r="H7" s="982"/>
      <c r="I7" s="982"/>
      <c r="J7" s="982"/>
      <c r="K7" s="982"/>
      <c r="L7" s="982"/>
      <c r="M7" s="982"/>
      <c r="N7" s="982"/>
      <c r="O7" s="982"/>
      <c r="P7" s="983"/>
      <c r="Q7" s="277"/>
      <c r="R7" s="276"/>
      <c r="S7" s="984"/>
      <c r="T7" s="985"/>
      <c r="U7" s="985"/>
      <c r="V7" s="986"/>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87" t="s">
        <v>7</v>
      </c>
      <c r="C9" s="988"/>
      <c r="D9" s="279"/>
      <c r="E9" s="276"/>
      <c r="F9" s="989" t="s">
        <v>8</v>
      </c>
      <c r="G9" s="990"/>
      <c r="H9" s="990"/>
      <c r="I9" s="990"/>
      <c r="J9" s="990"/>
      <c r="K9" s="990"/>
      <c r="L9" s="990"/>
      <c r="M9" s="990"/>
      <c r="N9" s="990"/>
      <c r="O9" s="990"/>
      <c r="P9" s="991"/>
      <c r="Q9" s="296"/>
      <c r="R9" s="276"/>
      <c r="S9" s="308"/>
      <c r="T9" s="309"/>
      <c r="U9" s="310" t="s">
        <v>9</v>
      </c>
      <c r="V9" s="311"/>
      <c r="W9" s="276"/>
    </row>
    <row r="10" spans="1:25" ht="15.75" customHeight="1" x14ac:dyDescent="0.25">
      <c r="A10" s="275"/>
      <c r="B10" s="312" t="s">
        <v>10</v>
      </c>
      <c r="C10" s="314" t="s">
        <v>11</v>
      </c>
      <c r="D10" s="275"/>
      <c r="E10" s="276"/>
      <c r="F10" s="925" t="s">
        <v>12</v>
      </c>
      <c r="G10" s="926"/>
      <c r="H10" s="313" t="s">
        <v>13</v>
      </c>
      <c r="I10" s="313" t="s">
        <v>14</v>
      </c>
      <c r="J10" s="313" t="s">
        <v>15</v>
      </c>
      <c r="K10" s="313" t="s">
        <v>16</v>
      </c>
      <c r="L10" s="313" t="s">
        <v>17</v>
      </c>
      <c r="M10" s="313" t="s">
        <v>18</v>
      </c>
      <c r="N10" s="313" t="s">
        <v>19</v>
      </c>
      <c r="O10" s="313" t="s">
        <v>20</v>
      </c>
      <c r="P10" s="314" t="s">
        <v>21</v>
      </c>
      <c r="Q10" s="297"/>
      <c r="R10" s="276"/>
      <c r="S10" s="919" t="s">
        <v>22</v>
      </c>
      <c r="T10" s="920"/>
      <c r="U10" s="27" t="s">
        <v>32</v>
      </c>
      <c r="V10" s="272"/>
      <c r="W10" s="276"/>
    </row>
    <row r="11" spans="1:25" ht="14.25" customHeight="1" x14ac:dyDescent="0.25">
      <c r="A11" s="275"/>
      <c r="B11" s="315">
        <v>6.25</v>
      </c>
      <c r="C11" s="436">
        <v>98.688000000000002</v>
      </c>
      <c r="D11" s="280"/>
      <c r="E11" s="276"/>
      <c r="F11" s="917" t="s">
        <v>23</v>
      </c>
      <c r="G11" s="918">
        <v>0</v>
      </c>
      <c r="H11" s="29">
        <v>0.625</v>
      </c>
      <c r="I11" s="29">
        <v>0.5</v>
      </c>
      <c r="J11" s="29">
        <v>0.5</v>
      </c>
      <c r="K11" s="29">
        <v>0.5</v>
      </c>
      <c r="L11" s="29">
        <v>0.375</v>
      </c>
      <c r="M11" s="29">
        <v>0.125</v>
      </c>
      <c r="N11" s="29">
        <v>-0.125</v>
      </c>
      <c r="O11" s="29">
        <v>-1.75</v>
      </c>
      <c r="P11" s="30">
        <v>-3.25</v>
      </c>
      <c r="Q11" s="298"/>
      <c r="R11" s="276"/>
      <c r="S11" s="909" t="s">
        <v>24</v>
      </c>
      <c r="T11" s="910"/>
      <c r="U11" s="32" t="s">
        <v>32</v>
      </c>
      <c r="V11" s="272"/>
      <c r="W11" s="276"/>
      <c r="X11" s="33"/>
      <c r="Y11" s="33"/>
    </row>
    <row r="12" spans="1:25" x14ac:dyDescent="0.25">
      <c r="A12" s="275"/>
      <c r="B12" s="315">
        <v>6.375</v>
      </c>
      <c r="C12" s="436">
        <v>99.188000000000002</v>
      </c>
      <c r="D12" s="280"/>
      <c r="E12" s="276"/>
      <c r="F12" s="917" t="s">
        <v>25</v>
      </c>
      <c r="G12" s="918">
        <v>0</v>
      </c>
      <c r="H12" s="35">
        <v>0.5</v>
      </c>
      <c r="I12" s="35">
        <v>0.5</v>
      </c>
      <c r="J12" s="29">
        <v>0.5</v>
      </c>
      <c r="K12" s="35">
        <v>0.375</v>
      </c>
      <c r="L12" s="35">
        <v>0.25</v>
      </c>
      <c r="M12" s="35">
        <v>0</v>
      </c>
      <c r="N12" s="35">
        <v>-0.375</v>
      </c>
      <c r="O12" s="35">
        <v>-2</v>
      </c>
      <c r="P12" s="36">
        <v>-3.5</v>
      </c>
      <c r="Q12" s="298"/>
      <c r="R12" s="276"/>
      <c r="S12" s="909" t="s">
        <v>26</v>
      </c>
      <c r="T12" s="910"/>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7" t="s">
        <v>27</v>
      </c>
      <c r="G13" s="918">
        <v>0</v>
      </c>
      <c r="H13" s="35">
        <v>0.5</v>
      </c>
      <c r="I13" s="35">
        <v>0.375</v>
      </c>
      <c r="J13" s="29">
        <v>0.375</v>
      </c>
      <c r="K13" s="35">
        <v>0.25</v>
      </c>
      <c r="L13" s="35">
        <v>0</v>
      </c>
      <c r="M13" s="35">
        <v>-0.375</v>
      </c>
      <c r="N13" s="35">
        <v>-0.5</v>
      </c>
      <c r="O13" s="35">
        <v>-2.25</v>
      </c>
      <c r="P13" s="36">
        <v>-3.75</v>
      </c>
      <c r="Q13" s="298"/>
      <c r="R13" s="276"/>
      <c r="S13" s="909" t="s">
        <v>28</v>
      </c>
      <c r="T13" s="910"/>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7" t="s">
        <v>30</v>
      </c>
      <c r="G14" s="918">
        <v>0</v>
      </c>
      <c r="H14" s="35">
        <v>0.375</v>
      </c>
      <c r="I14" s="35">
        <v>0.25</v>
      </c>
      <c r="J14" s="29">
        <v>0.25</v>
      </c>
      <c r="K14" s="35">
        <v>0</v>
      </c>
      <c r="L14" s="35">
        <v>-0.375</v>
      </c>
      <c r="M14" s="35">
        <v>-0.5</v>
      </c>
      <c r="N14" s="35">
        <v>-1</v>
      </c>
      <c r="O14" s="35">
        <v>-2.75</v>
      </c>
      <c r="P14" s="36">
        <v>-4.25</v>
      </c>
      <c r="Q14" s="298"/>
      <c r="R14" s="276"/>
      <c r="S14" s="909" t="s">
        <v>31</v>
      </c>
      <c r="T14" s="910"/>
      <c r="U14" s="32" t="s">
        <v>32</v>
      </c>
      <c r="V14" s="272">
        <f>'Feed(WS)'!$O$168</f>
        <v>0</v>
      </c>
      <c r="W14" s="276"/>
      <c r="X14" s="33"/>
      <c r="Y14" s="33"/>
    </row>
    <row r="15" spans="1:25" x14ac:dyDescent="0.25">
      <c r="A15" s="275"/>
      <c r="B15" s="266">
        <v>6.75</v>
      </c>
      <c r="C15" s="37">
        <v>100.414</v>
      </c>
      <c r="D15" s="281"/>
      <c r="E15" s="276"/>
      <c r="F15" s="917" t="s">
        <v>33</v>
      </c>
      <c r="G15" s="918">
        <v>0</v>
      </c>
      <c r="H15" s="35">
        <v>0.25</v>
      </c>
      <c r="I15" s="35">
        <v>0</v>
      </c>
      <c r="J15" s="29">
        <v>0</v>
      </c>
      <c r="K15" s="35">
        <v>-0.375</v>
      </c>
      <c r="L15" s="35">
        <v>-0.5</v>
      </c>
      <c r="M15" s="35">
        <v>-1</v>
      </c>
      <c r="N15" s="35">
        <v>-1.5</v>
      </c>
      <c r="O15" s="35">
        <v>-3.5</v>
      </c>
      <c r="P15" s="36">
        <v>-5</v>
      </c>
      <c r="Q15" s="298"/>
      <c r="R15" s="276"/>
      <c r="S15" s="909" t="s">
        <v>34</v>
      </c>
      <c r="T15" s="910"/>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7" t="s">
        <v>36</v>
      </c>
      <c r="G16" s="918">
        <v>0</v>
      </c>
      <c r="H16" s="35">
        <v>0</v>
      </c>
      <c r="I16" s="35">
        <v>-0.375</v>
      </c>
      <c r="J16" s="29">
        <v>-0.375</v>
      </c>
      <c r="K16" s="35">
        <v>-0.5</v>
      </c>
      <c r="L16" s="35">
        <v>-1</v>
      </c>
      <c r="M16" s="35">
        <v>-1.5</v>
      </c>
      <c r="N16" s="35">
        <v>-2.5</v>
      </c>
      <c r="O16" s="35">
        <v>-4.5</v>
      </c>
      <c r="P16" s="268" t="s">
        <v>643</v>
      </c>
      <c r="Q16" s="298"/>
      <c r="R16" s="276"/>
      <c r="S16" s="909" t="s">
        <v>37</v>
      </c>
      <c r="T16" s="910"/>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7" t="s">
        <v>39</v>
      </c>
      <c r="G17" s="918">
        <v>0</v>
      </c>
      <c r="H17" s="35">
        <v>-0.5</v>
      </c>
      <c r="I17" s="35">
        <v>-0.5</v>
      </c>
      <c r="J17" s="29">
        <v>-0.5</v>
      </c>
      <c r="K17" s="35">
        <v>-1</v>
      </c>
      <c r="L17" s="35">
        <v>-1.5</v>
      </c>
      <c r="M17" s="35">
        <v>-2.25</v>
      </c>
      <c r="N17" s="35">
        <v>-3.25</v>
      </c>
      <c r="O17" s="269" t="s">
        <v>643</v>
      </c>
      <c r="P17" s="268" t="s">
        <v>643</v>
      </c>
      <c r="Q17" s="298"/>
      <c r="R17" s="276"/>
      <c r="S17" s="909" t="s">
        <v>40</v>
      </c>
      <c r="T17" s="910"/>
      <c r="U17" s="32" t="s">
        <v>32</v>
      </c>
      <c r="V17" s="272">
        <v>0</v>
      </c>
      <c r="W17" s="276"/>
      <c r="X17" s="33"/>
      <c r="Y17" s="33"/>
    </row>
    <row r="18" spans="1:25" x14ac:dyDescent="0.25">
      <c r="A18" s="275"/>
      <c r="B18" s="266">
        <v>7.125</v>
      </c>
      <c r="C18" s="37">
        <v>101.539</v>
      </c>
      <c r="D18" s="281"/>
      <c r="E18" s="276"/>
      <c r="F18" s="917" t="s">
        <v>41</v>
      </c>
      <c r="G18" s="918">
        <v>0</v>
      </c>
      <c r="H18" s="35">
        <v>-1</v>
      </c>
      <c r="I18" s="35">
        <v>-1.25</v>
      </c>
      <c r="J18" s="29">
        <v>-1.25</v>
      </c>
      <c r="K18" s="35">
        <v>-1.75</v>
      </c>
      <c r="L18" s="35">
        <v>-2.25</v>
      </c>
      <c r="M18" s="35">
        <v>-3.25</v>
      </c>
      <c r="N18" s="35">
        <v>-4.25</v>
      </c>
      <c r="O18" s="269" t="s">
        <v>643</v>
      </c>
      <c r="P18" s="268" t="s">
        <v>643</v>
      </c>
      <c r="Q18" s="298"/>
      <c r="R18" s="276"/>
      <c r="S18" s="909" t="s">
        <v>42</v>
      </c>
      <c r="T18" s="910"/>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7" t="s">
        <v>43</v>
      </c>
      <c r="G19" s="918">
        <v>0</v>
      </c>
      <c r="H19" s="35">
        <v>-1.75</v>
      </c>
      <c r="I19" s="35">
        <v>-2</v>
      </c>
      <c r="J19" s="29">
        <v>-2</v>
      </c>
      <c r="K19" s="35">
        <v>-2.5</v>
      </c>
      <c r="L19" s="35">
        <v>-3</v>
      </c>
      <c r="M19" s="35">
        <v>-4.25</v>
      </c>
      <c r="N19" s="35">
        <v>-5.25</v>
      </c>
      <c r="O19" s="269" t="s">
        <v>643</v>
      </c>
      <c r="P19" s="268" t="s">
        <v>643</v>
      </c>
      <c r="Q19" s="298"/>
      <c r="R19" s="276"/>
      <c r="S19" s="909" t="s">
        <v>44</v>
      </c>
      <c r="T19" s="910"/>
      <c r="U19" s="32" t="s">
        <v>32</v>
      </c>
      <c r="V19" s="272">
        <f>'Feed(WS)'!$R$163</f>
        <v>0</v>
      </c>
      <c r="W19" s="276"/>
      <c r="X19" s="33"/>
      <c r="Y19" s="33"/>
    </row>
    <row r="20" spans="1:25" ht="15.75" customHeight="1" x14ac:dyDescent="0.25">
      <c r="A20" s="275"/>
      <c r="B20" s="266">
        <v>7.375</v>
      </c>
      <c r="C20" s="37">
        <v>102.25</v>
      </c>
      <c r="D20" s="281"/>
      <c r="E20" s="276"/>
      <c r="F20" s="917" t="s">
        <v>45</v>
      </c>
      <c r="G20" s="918">
        <v>0</v>
      </c>
      <c r="H20" s="35">
        <v>-2.5</v>
      </c>
      <c r="I20" s="35">
        <v>-2.75</v>
      </c>
      <c r="J20" s="29">
        <v>-2.75</v>
      </c>
      <c r="K20" s="35">
        <v>-3.25</v>
      </c>
      <c r="L20" s="35">
        <v>-3.75</v>
      </c>
      <c r="M20" s="35">
        <v>-5.25</v>
      </c>
      <c r="N20" s="35">
        <v>-6.25</v>
      </c>
      <c r="O20" s="269" t="s">
        <v>643</v>
      </c>
      <c r="P20" s="268" t="s">
        <v>643</v>
      </c>
      <c r="Q20" s="298"/>
      <c r="R20" s="276"/>
      <c r="S20" s="909" t="s">
        <v>46</v>
      </c>
      <c r="T20" s="910"/>
      <c r="U20" s="32" t="s">
        <v>32</v>
      </c>
      <c r="V20" s="272">
        <f>'Feed(WS)'!$Q$163</f>
        <v>0</v>
      </c>
      <c r="W20" s="276"/>
      <c r="X20" s="33"/>
      <c r="Y20" s="33"/>
    </row>
    <row r="21" spans="1:25" ht="15.75" customHeight="1" x14ac:dyDescent="0.25">
      <c r="A21" s="275"/>
      <c r="B21" s="266">
        <v>7.4989999999999997</v>
      </c>
      <c r="C21" s="37">
        <v>102.593</v>
      </c>
      <c r="D21" s="281"/>
      <c r="E21" s="276"/>
      <c r="F21" s="921"/>
      <c r="G21" s="922"/>
      <c r="H21" s="922"/>
      <c r="I21" s="922"/>
      <c r="J21" s="922"/>
      <c r="K21" s="922"/>
      <c r="L21" s="922"/>
      <c r="M21" s="922"/>
      <c r="N21" s="922"/>
      <c r="O21" s="922"/>
      <c r="P21" s="923"/>
      <c r="Q21" s="298"/>
      <c r="R21" s="276"/>
      <c r="S21" s="909" t="s">
        <v>47</v>
      </c>
      <c r="T21" s="910"/>
      <c r="U21" s="32" t="s">
        <v>32</v>
      </c>
      <c r="V21" s="272" t="e">
        <f>IF(OR($U$11="", $U$21=""), "",
   INDEX($H$38:$P$47,
         MATCH($U$21,$F$38:$F$47,0),
         MATCH($U$11,$H$10:$P$10,0)))</f>
        <v>#N/A</v>
      </c>
      <c r="W21" s="276"/>
      <c r="X21" s="33"/>
    </row>
    <row r="22" spans="1:25" x14ac:dyDescent="0.25">
      <c r="A22" s="275"/>
      <c r="B22" s="266">
        <v>7.625</v>
      </c>
      <c r="C22" s="37">
        <v>102.93</v>
      </c>
      <c r="D22" s="281"/>
      <c r="E22" s="276"/>
      <c r="F22" s="945" t="s">
        <v>28</v>
      </c>
      <c r="G22" s="968"/>
      <c r="H22" s="968"/>
      <c r="I22" s="968"/>
      <c r="J22" s="968"/>
      <c r="K22" s="968"/>
      <c r="L22" s="968"/>
      <c r="M22" s="968"/>
      <c r="N22" s="968"/>
      <c r="O22" s="968"/>
      <c r="P22" s="946"/>
      <c r="Q22" s="276"/>
      <c r="R22" s="276"/>
      <c r="S22" s="909" t="s">
        <v>48</v>
      </c>
      <c r="T22" s="910"/>
      <c r="U22" s="32" t="s">
        <v>32</v>
      </c>
      <c r="V22" s="272" t="e">
        <f>IF(OR($U$11="", $U$22=""), "",
   INDEX($H$32:$P$36,
         MATCH($U$22,$F$32:$F$36,0),
         MATCH($U$11,$H$10:$P$10,0)))</f>
        <v>#N/A</v>
      </c>
      <c r="W22" s="276"/>
    </row>
    <row r="23" spans="1:25" ht="15.75" customHeight="1" x14ac:dyDescent="0.25">
      <c r="A23" s="275"/>
      <c r="B23" s="266">
        <v>7.75</v>
      </c>
      <c r="C23" s="37">
        <v>103.258</v>
      </c>
      <c r="D23" s="281"/>
      <c r="E23" s="276"/>
      <c r="F23" s="625" t="s">
        <v>49</v>
      </c>
      <c r="G23" s="626"/>
      <c r="H23" s="44">
        <v>0.5</v>
      </c>
      <c r="I23" s="44">
        <v>0.5</v>
      </c>
      <c r="J23" s="44">
        <v>0.5</v>
      </c>
      <c r="K23" s="44">
        <v>0.5</v>
      </c>
      <c r="L23" s="44">
        <v>0.5</v>
      </c>
      <c r="M23" s="44">
        <v>0.5</v>
      </c>
      <c r="N23" s="44">
        <v>0.5</v>
      </c>
      <c r="O23" s="44">
        <v>0.5</v>
      </c>
      <c r="P23" s="45" t="s">
        <v>643</v>
      </c>
      <c r="Q23" s="276"/>
      <c r="R23" s="276"/>
      <c r="S23" s="909" t="s">
        <v>50</v>
      </c>
      <c r="T23" s="910"/>
      <c r="U23" s="32" t="s">
        <v>32</v>
      </c>
      <c r="V23" s="272">
        <f>'Feed(WS)'!$P$168</f>
        <v>0</v>
      </c>
      <c r="W23" s="276"/>
      <c r="Y23" s="46"/>
    </row>
    <row r="24" spans="1:25" ht="15.75" customHeight="1" x14ac:dyDescent="0.25">
      <c r="A24" s="275"/>
      <c r="B24" s="266">
        <v>7.875</v>
      </c>
      <c r="C24" s="37">
        <v>103.578125</v>
      </c>
      <c r="D24" s="281"/>
      <c r="E24" s="276"/>
      <c r="F24" s="625" t="s">
        <v>29</v>
      </c>
      <c r="G24" s="626"/>
      <c r="H24" s="44">
        <v>0</v>
      </c>
      <c r="I24" s="44">
        <v>0</v>
      </c>
      <c r="J24" s="44">
        <v>0</v>
      </c>
      <c r="K24" s="44">
        <v>0</v>
      </c>
      <c r="L24" s="44">
        <v>0</v>
      </c>
      <c r="M24" s="44">
        <v>0</v>
      </c>
      <c r="N24" s="44">
        <v>0</v>
      </c>
      <c r="O24" s="44">
        <v>0</v>
      </c>
      <c r="P24" s="45">
        <v>0</v>
      </c>
      <c r="Q24" s="276"/>
      <c r="R24" s="276"/>
      <c r="S24" s="909" t="s">
        <v>51</v>
      </c>
      <c r="T24" s="910"/>
      <c r="U24" s="32" t="s">
        <v>32</v>
      </c>
      <c r="V24" s="272">
        <f>'Feed(WS)'!$P$163</f>
        <v>0</v>
      </c>
      <c r="W24" s="276"/>
      <c r="Y24" s="46"/>
    </row>
    <row r="25" spans="1:25" ht="15.75" customHeight="1" x14ac:dyDescent="0.25">
      <c r="A25" s="275"/>
      <c r="B25" s="266">
        <v>7.9989999999999997</v>
      </c>
      <c r="C25" s="37">
        <v>103.859375</v>
      </c>
      <c r="D25" s="281"/>
      <c r="E25" s="276"/>
      <c r="F25" s="945" t="s">
        <v>52</v>
      </c>
      <c r="G25" s="968"/>
      <c r="H25" s="968"/>
      <c r="I25" s="968"/>
      <c r="J25" s="968"/>
      <c r="K25" s="968"/>
      <c r="L25" s="968"/>
      <c r="M25" s="968"/>
      <c r="N25" s="968"/>
      <c r="O25" s="968"/>
      <c r="P25" s="946"/>
      <c r="Q25" s="276"/>
      <c r="R25" s="276"/>
      <c r="S25" s="909" t="s">
        <v>53</v>
      </c>
      <c r="T25" s="910"/>
      <c r="U25" s="32" t="s">
        <v>54</v>
      </c>
      <c r="V25" s="272">
        <f>'Feed(WS)'!$O$163</f>
        <v>0</v>
      </c>
      <c r="W25" s="276"/>
    </row>
    <row r="26" spans="1:25" x14ac:dyDescent="0.25">
      <c r="A26" s="275"/>
      <c r="B26" s="266">
        <v>8.125</v>
      </c>
      <c r="C26" s="37">
        <v>104.109375</v>
      </c>
      <c r="D26" s="281"/>
      <c r="E26" s="276"/>
      <c r="F26" s="625" t="s">
        <v>55</v>
      </c>
      <c r="G26" s="626"/>
      <c r="H26" s="44">
        <v>-0.25</v>
      </c>
      <c r="I26" s="44">
        <v>-0.25</v>
      </c>
      <c r="J26" s="44">
        <v>-0.25</v>
      </c>
      <c r="K26" s="44">
        <v>-0.25</v>
      </c>
      <c r="L26" s="44">
        <v>-0.25</v>
      </c>
      <c r="M26" s="44">
        <v>-0.25</v>
      </c>
      <c r="N26" s="44">
        <v>-0.25</v>
      </c>
      <c r="O26" s="44">
        <v>-0.25</v>
      </c>
      <c r="P26" s="45">
        <v>-0.25</v>
      </c>
      <c r="Q26" s="276"/>
      <c r="R26" s="276"/>
      <c r="S26" s="909" t="s">
        <v>56</v>
      </c>
      <c r="T26" s="910"/>
      <c r="U26" s="32" t="s">
        <v>57</v>
      </c>
      <c r="V26" s="272">
        <f>'Feed(WS)'!$Q$168</f>
        <v>0</v>
      </c>
      <c r="W26" s="276"/>
    </row>
    <row r="27" spans="1:25" ht="15.75" customHeight="1" x14ac:dyDescent="0.25">
      <c r="A27" s="275"/>
      <c r="B27" s="266">
        <v>8.25</v>
      </c>
      <c r="C27" s="37">
        <v>104.359375</v>
      </c>
      <c r="D27" s="281"/>
      <c r="E27" s="276"/>
      <c r="F27" s="625" t="s">
        <v>58</v>
      </c>
      <c r="G27" s="626"/>
      <c r="H27" s="44">
        <v>-0.25</v>
      </c>
      <c r="I27" s="44">
        <v>-0.25</v>
      </c>
      <c r="J27" s="44">
        <v>-0.25</v>
      </c>
      <c r="K27" s="44">
        <v>-0.25</v>
      </c>
      <c r="L27" s="44">
        <v>-0.25</v>
      </c>
      <c r="M27" s="44">
        <v>-0.25</v>
      </c>
      <c r="N27" s="44">
        <v>-0.25</v>
      </c>
      <c r="O27" s="44">
        <v>-0.25</v>
      </c>
      <c r="P27" s="45">
        <v>-0.5</v>
      </c>
      <c r="Q27" s="276"/>
      <c r="R27" s="276"/>
      <c r="S27" s="909" t="s">
        <v>59</v>
      </c>
      <c r="T27" s="910"/>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625" t="s">
        <v>60</v>
      </c>
      <c r="G28" s="626"/>
      <c r="H28" s="44">
        <v>-0.125</v>
      </c>
      <c r="I28" s="44">
        <v>-0.25</v>
      </c>
      <c r="J28" s="44">
        <v>-0.25</v>
      </c>
      <c r="K28" s="44">
        <v>-0.25</v>
      </c>
      <c r="L28" s="44">
        <v>-0.375</v>
      </c>
      <c r="M28" s="44">
        <v>-0.5</v>
      </c>
      <c r="N28" s="44">
        <v>-1</v>
      </c>
      <c r="O28" s="44" t="s">
        <v>643</v>
      </c>
      <c r="P28" s="45" t="s">
        <v>643</v>
      </c>
      <c r="Q28" s="276"/>
      <c r="R28" s="276"/>
      <c r="S28" s="909" t="s">
        <v>61</v>
      </c>
      <c r="T28" s="910"/>
      <c r="U28" s="32"/>
      <c r="V28" s="272">
        <v>0</v>
      </c>
      <c r="W28" s="276"/>
      <c r="X28" s="3"/>
    </row>
    <row r="29" spans="1:25" x14ac:dyDescent="0.25">
      <c r="A29" s="275"/>
      <c r="B29" s="266">
        <v>8.4990000000000006</v>
      </c>
      <c r="C29" s="37">
        <v>104.859375</v>
      </c>
      <c r="D29" s="281"/>
      <c r="E29" s="276"/>
      <c r="F29" s="625" t="s">
        <v>62</v>
      </c>
      <c r="G29" s="626"/>
      <c r="H29" s="44">
        <v>-0.125</v>
      </c>
      <c r="I29" s="44">
        <v>-0.25</v>
      </c>
      <c r="J29" s="44">
        <v>-0.25</v>
      </c>
      <c r="K29" s="44">
        <v>-0.25</v>
      </c>
      <c r="L29" s="44">
        <v>-0.25</v>
      </c>
      <c r="M29" s="44">
        <v>-0.25</v>
      </c>
      <c r="N29" s="44">
        <v>-0.375</v>
      </c>
      <c r="O29" s="44">
        <v>-0.375</v>
      </c>
      <c r="P29" s="45">
        <v>-0.375</v>
      </c>
      <c r="Q29" s="276"/>
      <c r="R29" s="276"/>
      <c r="S29" s="909" t="s">
        <v>63</v>
      </c>
      <c r="T29" s="910"/>
      <c r="U29" s="32" t="s">
        <v>32</v>
      </c>
      <c r="V29" s="272">
        <v>0</v>
      </c>
      <c r="W29" s="276"/>
      <c r="X29" s="47"/>
    </row>
    <row r="30" spans="1:25" x14ac:dyDescent="0.25">
      <c r="A30" s="275"/>
      <c r="B30" s="266">
        <v>8.625</v>
      </c>
      <c r="C30" s="37">
        <v>105.109375</v>
      </c>
      <c r="D30" s="281"/>
      <c r="E30" s="276"/>
      <c r="F30" s="625" t="s">
        <v>64</v>
      </c>
      <c r="G30" s="626"/>
      <c r="H30" s="44">
        <v>-0.75</v>
      </c>
      <c r="I30" s="44">
        <v>-0.75</v>
      </c>
      <c r="J30" s="44">
        <v>-0.75</v>
      </c>
      <c r="K30" s="44">
        <v>-0.75</v>
      </c>
      <c r="L30" s="44">
        <v>-0.75</v>
      </c>
      <c r="M30" s="44">
        <v>-0.75</v>
      </c>
      <c r="N30" s="44">
        <v>-0.75</v>
      </c>
      <c r="O30" s="44" t="s">
        <v>643</v>
      </c>
      <c r="P30" s="45" t="s">
        <v>643</v>
      </c>
      <c r="Q30" s="276"/>
      <c r="R30" s="276"/>
      <c r="S30" s="909" t="s">
        <v>65</v>
      </c>
      <c r="T30" s="910"/>
      <c r="U30" s="48" t="s">
        <v>66</v>
      </c>
      <c r="V30" s="272" t="e">
        <f>'Feed(WS)'!$R$168</f>
        <v>#N/A</v>
      </c>
      <c r="W30" s="276"/>
    </row>
    <row r="31" spans="1:25" x14ac:dyDescent="0.25">
      <c r="A31" s="275"/>
      <c r="B31" s="266">
        <v>8.75</v>
      </c>
      <c r="C31" s="37">
        <v>105.296875</v>
      </c>
      <c r="D31" s="281"/>
      <c r="E31" s="276"/>
      <c r="F31" s="945" t="s">
        <v>48</v>
      </c>
      <c r="G31" s="968"/>
      <c r="H31" s="968"/>
      <c r="I31" s="968"/>
      <c r="J31" s="968"/>
      <c r="K31" s="968"/>
      <c r="L31" s="968"/>
      <c r="M31" s="968"/>
      <c r="N31" s="968"/>
      <c r="O31" s="968"/>
      <c r="P31" s="946"/>
      <c r="Q31" s="276"/>
      <c r="R31" s="276"/>
      <c r="S31" s="909" t="s">
        <v>67</v>
      </c>
      <c r="T31" s="910"/>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625" t="s">
        <v>69</v>
      </c>
      <c r="G32" s="626"/>
      <c r="H32" s="44">
        <v>0</v>
      </c>
      <c r="I32" s="44">
        <v>0</v>
      </c>
      <c r="J32" s="44">
        <v>0</v>
      </c>
      <c r="K32" s="44">
        <v>0</v>
      </c>
      <c r="L32" s="44">
        <v>0</v>
      </c>
      <c r="M32" s="44">
        <v>0</v>
      </c>
      <c r="N32" s="44">
        <v>0</v>
      </c>
      <c r="O32" s="44">
        <v>0</v>
      </c>
      <c r="P32" s="45">
        <v>0</v>
      </c>
      <c r="Q32" s="276"/>
      <c r="R32" s="276"/>
      <c r="S32" s="909" t="s">
        <v>70</v>
      </c>
      <c r="T32" s="910"/>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625" t="s">
        <v>71</v>
      </c>
      <c r="G33" s="626"/>
      <c r="H33" s="44">
        <v>0</v>
      </c>
      <c r="I33" s="44">
        <v>0</v>
      </c>
      <c r="J33" s="44">
        <v>0</v>
      </c>
      <c r="K33" s="44">
        <v>0</v>
      </c>
      <c r="L33" s="44">
        <v>-0.25</v>
      </c>
      <c r="M33" s="44">
        <v>-0.25</v>
      </c>
      <c r="N33" s="44">
        <v>-0.25</v>
      </c>
      <c r="O33" s="44">
        <v>-0.25</v>
      </c>
      <c r="P33" s="45" t="s">
        <v>643</v>
      </c>
      <c r="Q33" s="276"/>
      <c r="R33" s="276"/>
      <c r="S33" s="909" t="s">
        <v>74</v>
      </c>
      <c r="T33" s="910"/>
      <c r="U33" s="49" t="str">
        <f>IF(ISNA(V33),"Yes",IF(V33=0,"No",""))</f>
        <v>No</v>
      </c>
      <c r="V33" s="272">
        <f>'Feed(WS)'!$B$67</f>
        <v>0</v>
      </c>
      <c r="W33" s="276"/>
    </row>
    <row r="34" spans="1:25" x14ac:dyDescent="0.25">
      <c r="A34" s="275"/>
      <c r="B34" s="266">
        <v>9.125</v>
      </c>
      <c r="C34" s="37">
        <v>105.859375</v>
      </c>
      <c r="D34" s="281"/>
      <c r="E34" s="276"/>
      <c r="F34" s="625" t="s">
        <v>73</v>
      </c>
      <c r="G34" s="626"/>
      <c r="H34" s="44">
        <v>0</v>
      </c>
      <c r="I34" s="44">
        <v>-0.125</v>
      </c>
      <c r="J34" s="44">
        <v>-0.125</v>
      </c>
      <c r="K34" s="44">
        <v>-0.125</v>
      </c>
      <c r="L34" s="44">
        <v>-0.25</v>
      </c>
      <c r="M34" s="44">
        <v>-0.5</v>
      </c>
      <c r="N34" s="44">
        <v>-0.75</v>
      </c>
      <c r="O34" s="44" t="s">
        <v>643</v>
      </c>
      <c r="P34" s="45" t="s">
        <v>643</v>
      </c>
      <c r="Q34" s="276"/>
      <c r="R34" s="276"/>
      <c r="S34" s="909" t="s">
        <v>74</v>
      </c>
      <c r="T34" s="910"/>
      <c r="U34" s="49" t="s">
        <v>75</v>
      </c>
      <c r="V34" s="272">
        <v>0</v>
      </c>
      <c r="W34" s="276"/>
    </row>
    <row r="35" spans="1:25" ht="15.75" customHeight="1" x14ac:dyDescent="0.25">
      <c r="A35" s="275"/>
      <c r="B35" s="266">
        <v>9.25</v>
      </c>
      <c r="C35" s="37">
        <v>106.046875</v>
      </c>
      <c r="D35" s="281"/>
      <c r="E35" s="276"/>
      <c r="F35" s="625" t="s">
        <v>76</v>
      </c>
      <c r="G35" s="626"/>
      <c r="H35" s="44">
        <v>-0.25</v>
      </c>
      <c r="I35" s="44">
        <v>-0.25</v>
      </c>
      <c r="J35" s="44">
        <v>-0.25</v>
      </c>
      <c r="K35" s="44">
        <v>-0.25</v>
      </c>
      <c r="L35" s="44">
        <v>-0.25</v>
      </c>
      <c r="M35" s="44">
        <v>-0.5</v>
      </c>
      <c r="N35" s="44">
        <v>-0.5</v>
      </c>
      <c r="O35" s="44" t="s">
        <v>643</v>
      </c>
      <c r="P35" s="45" t="s">
        <v>643</v>
      </c>
      <c r="Q35" s="276"/>
      <c r="R35" s="276"/>
      <c r="S35" s="909" t="s">
        <v>208</v>
      </c>
      <c r="T35" s="910"/>
      <c r="U35" s="49" t="e">
        <f>IF(V36=0,'Feed(WS)'!Y4,'Feed(WS)'!Y5)</f>
        <v>#N/A</v>
      </c>
      <c r="V35" s="272" t="b">
        <f>'Feed(WS)'!$Z$1</f>
        <v>0</v>
      </c>
      <c r="W35" s="276"/>
    </row>
    <row r="36" spans="1:25" x14ac:dyDescent="0.25">
      <c r="A36" s="275"/>
      <c r="B36" s="266">
        <v>9.375</v>
      </c>
      <c r="C36" s="37">
        <v>106.234375</v>
      </c>
      <c r="D36" s="281"/>
      <c r="E36" s="276"/>
      <c r="F36" s="625" t="s">
        <v>77</v>
      </c>
      <c r="G36" s="626"/>
      <c r="H36" s="44">
        <v>-0.5</v>
      </c>
      <c r="I36" s="44">
        <v>-0.5</v>
      </c>
      <c r="J36" s="44">
        <v>-0.5</v>
      </c>
      <c r="K36" s="44">
        <v>-0.5</v>
      </c>
      <c r="L36" s="44">
        <v>-0.5</v>
      </c>
      <c r="M36" s="44">
        <v>-0.75</v>
      </c>
      <c r="N36" s="44" t="s">
        <v>643</v>
      </c>
      <c r="O36" s="44" t="s">
        <v>643</v>
      </c>
      <c r="P36" s="45" t="s">
        <v>643</v>
      </c>
      <c r="Q36" s="276"/>
      <c r="R36" s="276"/>
      <c r="S36" s="911" t="s">
        <v>78</v>
      </c>
      <c r="T36" s="912"/>
      <c r="U36" s="913"/>
      <c r="V36" s="273" t="e">
        <f>SUM($V$12:$V$35)</f>
        <v>#N/A</v>
      </c>
      <c r="W36" s="276"/>
    </row>
    <row r="37" spans="1:25" ht="15.75" customHeight="1" x14ac:dyDescent="0.25">
      <c r="A37" s="275"/>
      <c r="B37" s="266">
        <v>9.4990000000000006</v>
      </c>
      <c r="C37" s="37">
        <v>106.421875</v>
      </c>
      <c r="D37" s="281"/>
      <c r="E37" s="276"/>
      <c r="F37" s="945" t="s">
        <v>79</v>
      </c>
      <c r="G37" s="968"/>
      <c r="H37" s="968"/>
      <c r="I37" s="968"/>
      <c r="J37" s="968"/>
      <c r="K37" s="968"/>
      <c r="L37" s="968"/>
      <c r="M37" s="968"/>
      <c r="N37" s="968"/>
      <c r="O37" s="968"/>
      <c r="P37" s="946"/>
      <c r="Q37" s="299"/>
      <c r="R37" s="276"/>
      <c r="S37" s="911" t="s">
        <v>80</v>
      </c>
      <c r="T37" s="912"/>
      <c r="U37" s="913"/>
      <c r="V37" s="273" t="str">
        <f>_xlfn.XLOOKUP($U$10, $B$10:$B$50, $C$10:$C$50, "#N/A")</f>
        <v>#N/A</v>
      </c>
      <c r="W37" s="276"/>
      <c r="Y37" s="47"/>
    </row>
    <row r="38" spans="1:25" ht="15.75" customHeight="1" x14ac:dyDescent="0.25">
      <c r="A38" s="275"/>
      <c r="B38" s="266">
        <v>9.625</v>
      </c>
      <c r="C38" s="37">
        <v>106.609375</v>
      </c>
      <c r="D38" s="281"/>
      <c r="E38" s="276"/>
      <c r="F38" s="625" t="s">
        <v>81</v>
      </c>
      <c r="G38" s="626"/>
      <c r="H38" s="44">
        <v>-0.5</v>
      </c>
      <c r="I38" s="44">
        <v>-0.625</v>
      </c>
      <c r="J38" s="44">
        <v>-0.625</v>
      </c>
      <c r="K38" s="44">
        <v>-0.75</v>
      </c>
      <c r="L38" s="44">
        <v>-0.75</v>
      </c>
      <c r="M38" s="44">
        <v>-0.875</v>
      </c>
      <c r="N38" s="44">
        <v>-1</v>
      </c>
      <c r="O38" s="44">
        <v>-1.5</v>
      </c>
      <c r="P38" s="45">
        <v>-1.5</v>
      </c>
      <c r="Q38" s="276"/>
      <c r="R38" s="276"/>
      <c r="S38" s="911" t="s">
        <v>82</v>
      </c>
      <c r="T38" s="912"/>
      <c r="U38" s="913"/>
      <c r="V38" s="273" t="str">
        <f>IFERROR(IF(AND($U$10&lt;&gt;'Feed(WS)'!$K$134,$V$39=$T$64),NA(),$V$37+$V$36),"#N/A")</f>
        <v>#N/A</v>
      </c>
      <c r="W38" s="276"/>
    </row>
    <row r="39" spans="1:25" x14ac:dyDescent="0.25">
      <c r="A39" s="275"/>
      <c r="B39" s="266">
        <v>9.75</v>
      </c>
      <c r="C39" s="37">
        <v>106.796875</v>
      </c>
      <c r="D39" s="281"/>
      <c r="E39" s="276"/>
      <c r="F39" s="625" t="s">
        <v>83</v>
      </c>
      <c r="G39" s="626"/>
      <c r="H39" s="44">
        <v>0</v>
      </c>
      <c r="I39" s="44">
        <v>0</v>
      </c>
      <c r="J39" s="44">
        <v>0</v>
      </c>
      <c r="K39" s="44">
        <v>0</v>
      </c>
      <c r="L39" s="44">
        <v>0</v>
      </c>
      <c r="M39" s="44">
        <v>0</v>
      </c>
      <c r="N39" s="44">
        <v>0</v>
      </c>
      <c r="O39" s="44">
        <v>-0.25</v>
      </c>
      <c r="P39" s="45">
        <v>-0.5</v>
      </c>
      <c r="Q39" s="276"/>
      <c r="R39" s="276"/>
      <c r="S39" s="911" t="s">
        <v>84</v>
      </c>
      <c r="T39" s="912"/>
      <c r="U39" s="913"/>
      <c r="V39" s="273" t="e">
        <f>IF(OR('Feed(WS)'!$E$147=0, ISERROR('Feed(WS)'!$E$147)), NA(), 'Feed(WS)'!$E$147)</f>
        <v>#N/A</v>
      </c>
      <c r="W39" s="276"/>
    </row>
    <row r="40" spans="1:25" ht="14.25" customHeight="1" x14ac:dyDescent="0.25">
      <c r="A40" s="275"/>
      <c r="B40" s="266">
        <v>9.875</v>
      </c>
      <c r="C40" s="37">
        <v>106.921875</v>
      </c>
      <c r="D40" s="281"/>
      <c r="E40" s="276"/>
      <c r="F40" s="625" t="s">
        <v>85</v>
      </c>
      <c r="G40" s="626"/>
      <c r="H40" s="44">
        <v>0</v>
      </c>
      <c r="I40" s="44">
        <v>0</v>
      </c>
      <c r="J40" s="44">
        <v>0</v>
      </c>
      <c r="K40" s="44">
        <v>0</v>
      </c>
      <c r="L40" s="44">
        <v>0</v>
      </c>
      <c r="M40" s="44">
        <v>0</v>
      </c>
      <c r="N40" s="44">
        <v>0</v>
      </c>
      <c r="O40" s="44">
        <v>0</v>
      </c>
      <c r="P40" s="45">
        <v>0</v>
      </c>
      <c r="Q40" s="276"/>
      <c r="R40" s="276"/>
      <c r="S40" s="914" t="s">
        <v>86</v>
      </c>
      <c r="T40" s="915"/>
      <c r="U40" s="924"/>
      <c r="V40" s="274" t="e">
        <f>IF(OR($V$36="#NA",$V$37="#NA"),NA(),IF(AND($U$9&lt;&gt;'Feed(WS)'!$K$134,$V$39=$T$64),NA(),IF($V$38&gt;$V$39,$V$39,$V$38)))</f>
        <v>#N/A</v>
      </c>
      <c r="W40" s="276"/>
    </row>
    <row r="41" spans="1:25" ht="14.25" customHeight="1" x14ac:dyDescent="0.25">
      <c r="A41" s="275"/>
      <c r="B41" s="266">
        <v>9.9990000000000006</v>
      </c>
      <c r="C41" s="37">
        <v>107.046875</v>
      </c>
      <c r="D41" s="281"/>
      <c r="E41" s="276"/>
      <c r="F41" s="638" t="s">
        <v>87</v>
      </c>
      <c r="G41" s="639"/>
      <c r="H41" s="44">
        <v>0.375</v>
      </c>
      <c r="I41" s="44">
        <v>0.375</v>
      </c>
      <c r="J41" s="44">
        <v>0.25</v>
      </c>
      <c r="K41" s="44">
        <v>0.25</v>
      </c>
      <c r="L41" s="44">
        <v>0.25</v>
      </c>
      <c r="M41" s="44">
        <v>0.25</v>
      </c>
      <c r="N41" s="44">
        <v>0.25</v>
      </c>
      <c r="O41" s="44">
        <v>0</v>
      </c>
      <c r="P41" s="45">
        <v>0</v>
      </c>
      <c r="Q41" s="276"/>
      <c r="R41" s="276"/>
      <c r="S41" s="914" t="str" cm="1">
        <f t="array" ref="S41">IF(OR($U$11:$U$25="Choose a Selection"),"",CONCATENATE('Feed(WS)'!$I$134," ",'Feed(WS)'!$K$134,"%"&amp;" @ "&amp;'Feed(WS)'!$L$134))</f>
        <v/>
      </c>
      <c r="T41" s="915"/>
      <c r="U41" s="915"/>
      <c r="V41" s="916"/>
      <c r="W41" s="276"/>
    </row>
    <row r="42" spans="1:25" ht="15.75" customHeight="1" x14ac:dyDescent="0.25">
      <c r="A42" s="275"/>
      <c r="B42" s="266">
        <v>10.125</v>
      </c>
      <c r="C42" s="37">
        <v>107.171875</v>
      </c>
      <c r="D42" s="281"/>
      <c r="E42" s="276"/>
      <c r="F42" s="638" t="s">
        <v>88</v>
      </c>
      <c r="G42" s="639"/>
      <c r="H42" s="44">
        <v>0</v>
      </c>
      <c r="I42" s="44">
        <v>0</v>
      </c>
      <c r="J42" s="44">
        <v>0</v>
      </c>
      <c r="K42" s="44">
        <v>0</v>
      </c>
      <c r="L42" s="44">
        <v>0</v>
      </c>
      <c r="M42" s="44">
        <v>0</v>
      </c>
      <c r="N42" s="44">
        <v>0</v>
      </c>
      <c r="O42" s="44">
        <v>0</v>
      </c>
      <c r="P42" s="45">
        <v>0</v>
      </c>
      <c r="Q42" s="276"/>
      <c r="R42" s="276"/>
      <c r="S42" s="964" t="s">
        <v>89</v>
      </c>
      <c r="T42" s="964"/>
      <c r="U42" s="964"/>
      <c r="V42" s="965"/>
      <c r="W42" s="276"/>
    </row>
    <row r="43" spans="1:25" ht="14.25" customHeight="1" x14ac:dyDescent="0.25">
      <c r="A43" s="275"/>
      <c r="B43" s="266">
        <v>10.25</v>
      </c>
      <c r="C43" s="37">
        <v>107.296875</v>
      </c>
      <c r="D43" s="281"/>
      <c r="E43" s="276"/>
      <c r="F43" s="638" t="s">
        <v>90</v>
      </c>
      <c r="G43" s="639"/>
      <c r="H43" s="44">
        <v>-0.25</v>
      </c>
      <c r="I43" s="44">
        <v>-0.25</v>
      </c>
      <c r="J43" s="44">
        <v>-0.25</v>
      </c>
      <c r="K43" s="44">
        <v>-0.25</v>
      </c>
      <c r="L43" s="44">
        <v>-0.25</v>
      </c>
      <c r="M43" s="44">
        <v>-0.25</v>
      </c>
      <c r="N43" s="44">
        <v>-0.25</v>
      </c>
      <c r="O43" s="44">
        <v>-0.25</v>
      </c>
      <c r="P43" s="45" t="s">
        <v>643</v>
      </c>
      <c r="Q43" s="300"/>
      <c r="R43" s="276"/>
      <c r="S43" s="966"/>
      <c r="T43" s="966"/>
      <c r="U43" s="966"/>
      <c r="V43" s="967"/>
      <c r="W43" s="276"/>
    </row>
    <row r="44" spans="1:25" ht="15.75" customHeight="1" x14ac:dyDescent="0.25">
      <c r="A44" s="275"/>
      <c r="B44" s="266">
        <v>10.375</v>
      </c>
      <c r="C44" s="37">
        <v>107.421875</v>
      </c>
      <c r="D44" s="281"/>
      <c r="E44" s="276"/>
      <c r="F44" s="638" t="s">
        <v>91</v>
      </c>
      <c r="G44" s="639"/>
      <c r="H44" s="44">
        <v>-0.5</v>
      </c>
      <c r="I44" s="44">
        <v>-0.5</v>
      </c>
      <c r="J44" s="44">
        <v>-0.5</v>
      </c>
      <c r="K44" s="44">
        <v>-0.5</v>
      </c>
      <c r="L44" s="44">
        <v>-0.5</v>
      </c>
      <c r="M44" s="44">
        <v>-0.5</v>
      </c>
      <c r="N44" s="44">
        <v>-0.5</v>
      </c>
      <c r="O44" s="44" t="s">
        <v>643</v>
      </c>
      <c r="P44" s="45" t="s">
        <v>643</v>
      </c>
      <c r="Q44" s="276"/>
      <c r="R44" s="276"/>
      <c r="S44" s="966"/>
      <c r="T44" s="966"/>
      <c r="U44" s="966"/>
      <c r="V44" s="967"/>
      <c r="W44" s="276"/>
    </row>
    <row r="45" spans="1:25" ht="14.25" customHeight="1" x14ac:dyDescent="0.25">
      <c r="A45" s="275"/>
      <c r="B45" s="266">
        <v>10.499000000000001</v>
      </c>
      <c r="C45" s="37">
        <v>107.546875</v>
      </c>
      <c r="D45" s="281"/>
      <c r="E45" s="276"/>
      <c r="F45" s="638" t="s">
        <v>92</v>
      </c>
      <c r="G45" s="639"/>
      <c r="H45" s="44">
        <v>-1</v>
      </c>
      <c r="I45" s="44">
        <v>-1</v>
      </c>
      <c r="J45" s="44">
        <v>-1</v>
      </c>
      <c r="K45" s="44">
        <v>-1</v>
      </c>
      <c r="L45" s="44">
        <v>-1</v>
      </c>
      <c r="M45" s="44">
        <v>-1</v>
      </c>
      <c r="N45" s="44">
        <v>-1</v>
      </c>
      <c r="O45" s="44" t="s">
        <v>643</v>
      </c>
      <c r="P45" s="45" t="s">
        <v>643</v>
      </c>
      <c r="Q45" s="276"/>
      <c r="R45" s="276"/>
      <c r="S45" s="966"/>
      <c r="T45" s="966"/>
      <c r="U45" s="966"/>
      <c r="V45" s="967"/>
      <c r="W45" s="276"/>
    </row>
    <row r="46" spans="1:25" ht="14.25" customHeight="1" x14ac:dyDescent="0.25">
      <c r="A46" s="275"/>
      <c r="B46" s="266">
        <v>10.625</v>
      </c>
      <c r="C46" s="37">
        <v>107.671875</v>
      </c>
      <c r="D46" s="281"/>
      <c r="E46" s="276"/>
      <c r="F46" s="638" t="s">
        <v>93</v>
      </c>
      <c r="G46" s="639"/>
      <c r="H46" s="44">
        <v>-2</v>
      </c>
      <c r="I46" s="44">
        <v>-2</v>
      </c>
      <c r="J46" s="44">
        <v>-2</v>
      </c>
      <c r="K46" s="44">
        <v>-2</v>
      </c>
      <c r="L46" s="44">
        <v>-2</v>
      </c>
      <c r="M46" s="44" t="s">
        <v>643</v>
      </c>
      <c r="N46" s="44" t="s">
        <v>643</v>
      </c>
      <c r="O46" s="44" t="s">
        <v>643</v>
      </c>
      <c r="P46" s="45" t="s">
        <v>643</v>
      </c>
      <c r="Q46" s="276"/>
      <c r="R46" s="276"/>
      <c r="S46" s="972"/>
      <c r="T46" s="972"/>
      <c r="U46" s="972"/>
      <c r="V46" s="973"/>
      <c r="W46" s="276"/>
    </row>
    <row r="47" spans="1:25" ht="14.25" customHeight="1" x14ac:dyDescent="0.25">
      <c r="A47" s="275"/>
      <c r="B47" s="266">
        <v>10.75</v>
      </c>
      <c r="C47" s="37">
        <v>107.796875</v>
      </c>
      <c r="D47" s="281"/>
      <c r="E47" s="276"/>
      <c r="F47" s="638" t="s">
        <v>94</v>
      </c>
      <c r="G47" s="639"/>
      <c r="H47" s="44">
        <v>-3</v>
      </c>
      <c r="I47" s="44">
        <v>-3</v>
      </c>
      <c r="J47" s="44">
        <v>-3</v>
      </c>
      <c r="K47" s="44">
        <v>-3</v>
      </c>
      <c r="L47" s="44" t="s">
        <v>643</v>
      </c>
      <c r="M47" s="44" t="s">
        <v>643</v>
      </c>
      <c r="N47" s="44" t="s">
        <v>643</v>
      </c>
      <c r="O47" s="44" t="s">
        <v>643</v>
      </c>
      <c r="P47" s="45" t="s">
        <v>643</v>
      </c>
      <c r="Q47" s="276"/>
      <c r="R47" s="276"/>
      <c r="S47" s="964" t="s">
        <v>95</v>
      </c>
      <c r="T47" s="964"/>
      <c r="U47" s="964"/>
      <c r="V47" s="965"/>
      <c r="W47" s="276"/>
    </row>
    <row r="48" spans="1:25" ht="15.75" customHeight="1" x14ac:dyDescent="0.25">
      <c r="A48" s="275"/>
      <c r="B48" s="266">
        <v>10.875</v>
      </c>
      <c r="C48" s="37">
        <v>107.921875</v>
      </c>
      <c r="D48" s="281"/>
      <c r="E48" s="276"/>
      <c r="F48" s="945" t="s">
        <v>96</v>
      </c>
      <c r="G48" s="968"/>
      <c r="H48" s="968"/>
      <c r="I48" s="968"/>
      <c r="J48" s="968"/>
      <c r="K48" s="968"/>
      <c r="L48" s="968"/>
      <c r="M48" s="968"/>
      <c r="N48" s="968"/>
      <c r="O48" s="968"/>
      <c r="P48" s="946"/>
      <c r="Q48" s="276"/>
      <c r="R48" s="276"/>
      <c r="S48" s="966"/>
      <c r="T48" s="966"/>
      <c r="U48" s="966"/>
      <c r="V48" s="967"/>
      <c r="W48" s="276"/>
    </row>
    <row r="49" spans="1:23" ht="15.75" customHeight="1" x14ac:dyDescent="0.25">
      <c r="A49" s="275"/>
      <c r="B49" s="266">
        <v>10.999000000000001</v>
      </c>
      <c r="C49" s="37">
        <v>108.046875</v>
      </c>
      <c r="D49" s="281"/>
      <c r="E49" s="276"/>
      <c r="F49" s="625" t="s">
        <v>97</v>
      </c>
      <c r="G49" s="626"/>
      <c r="H49" s="44">
        <v>-0.375</v>
      </c>
      <c r="I49" s="44">
        <v>-0.5</v>
      </c>
      <c r="J49" s="44">
        <v>-0.5</v>
      </c>
      <c r="K49" s="44">
        <v>-0.75</v>
      </c>
      <c r="L49" s="44">
        <v>-0.75</v>
      </c>
      <c r="M49" s="44">
        <v>-0.75</v>
      </c>
      <c r="N49" s="44">
        <v>-0.75</v>
      </c>
      <c r="O49" s="44">
        <v>-1</v>
      </c>
      <c r="P49" s="45" t="s">
        <v>643</v>
      </c>
      <c r="Q49" s="276"/>
      <c r="R49" s="276"/>
      <c r="S49" s="966"/>
      <c r="T49" s="966"/>
      <c r="U49" s="966"/>
      <c r="V49" s="967"/>
      <c r="W49" s="276"/>
    </row>
    <row r="50" spans="1:23" x14ac:dyDescent="0.25">
      <c r="A50" s="275"/>
      <c r="B50" s="266">
        <v>11.125</v>
      </c>
      <c r="C50" s="37">
        <v>108.171875</v>
      </c>
      <c r="D50" s="281"/>
      <c r="E50" s="276"/>
      <c r="F50" s="625" t="s">
        <v>98</v>
      </c>
      <c r="G50" s="626"/>
      <c r="H50" s="44">
        <v>-0.25</v>
      </c>
      <c r="I50" s="44">
        <v>-0.25</v>
      </c>
      <c r="J50" s="44">
        <v>-0.25</v>
      </c>
      <c r="K50" s="44">
        <v>-0.5</v>
      </c>
      <c r="L50" s="44">
        <v>-0.5</v>
      </c>
      <c r="M50" s="44">
        <v>-0.5</v>
      </c>
      <c r="N50" s="44">
        <v>-0.5</v>
      </c>
      <c r="O50" s="44">
        <v>-0.5</v>
      </c>
      <c r="P50" s="45" t="s">
        <v>643</v>
      </c>
      <c r="Q50" s="276"/>
      <c r="R50" s="276"/>
      <c r="S50" s="966"/>
      <c r="T50" s="966"/>
      <c r="U50" s="966"/>
      <c r="V50" s="967"/>
      <c r="W50" s="303"/>
    </row>
    <row r="51" spans="1:23" ht="13.5" customHeight="1" x14ac:dyDescent="0.25">
      <c r="A51" s="276"/>
      <c r="B51" s="319"/>
      <c r="C51" s="320"/>
      <c r="D51" s="276"/>
      <c r="E51" s="282"/>
      <c r="F51" s="625" t="s">
        <v>99</v>
      </c>
      <c r="G51" s="626"/>
      <c r="H51" s="44">
        <v>-1</v>
      </c>
      <c r="I51" s="44">
        <v>-1</v>
      </c>
      <c r="J51" s="44">
        <v>-1</v>
      </c>
      <c r="K51" s="44">
        <v>-1</v>
      </c>
      <c r="L51" s="44">
        <v>-1.25</v>
      </c>
      <c r="M51" s="44">
        <v>-1.5</v>
      </c>
      <c r="N51" s="44" t="s">
        <v>643</v>
      </c>
      <c r="O51" s="44" t="s">
        <v>643</v>
      </c>
      <c r="P51" s="45" t="s">
        <v>643</v>
      </c>
      <c r="Q51" s="276"/>
      <c r="R51" s="282"/>
      <c r="S51" s="969"/>
      <c r="T51" s="970"/>
      <c r="U51" s="970"/>
      <c r="V51" s="971"/>
      <c r="W51" s="304"/>
    </row>
    <row r="52" spans="1:23" x14ac:dyDescent="0.25">
      <c r="A52" s="276"/>
      <c r="B52" s="321"/>
      <c r="C52" s="322"/>
      <c r="D52" s="276"/>
      <c r="E52" s="276"/>
      <c r="F52" s="625" t="s">
        <v>100</v>
      </c>
      <c r="G52" s="626"/>
      <c r="H52" s="44">
        <v>0</v>
      </c>
      <c r="I52" s="44">
        <v>0</v>
      </c>
      <c r="J52" s="44">
        <v>0</v>
      </c>
      <c r="K52" s="44">
        <v>0</v>
      </c>
      <c r="L52" s="44">
        <v>0</v>
      </c>
      <c r="M52" s="44">
        <v>0</v>
      </c>
      <c r="N52" s="44">
        <v>0</v>
      </c>
      <c r="O52" s="44">
        <v>0</v>
      </c>
      <c r="P52" s="45" t="s">
        <v>643</v>
      </c>
      <c r="Q52" s="276"/>
      <c r="R52" s="276"/>
      <c r="S52" s="958"/>
      <c r="T52" s="959"/>
      <c r="U52" s="959"/>
      <c r="V52" s="960"/>
      <c r="W52" s="304"/>
    </row>
    <row r="53" spans="1:23" x14ac:dyDescent="0.25">
      <c r="A53" s="276"/>
      <c r="B53" s="323"/>
      <c r="C53" s="324"/>
      <c r="D53" s="283"/>
      <c r="E53" s="276"/>
      <c r="F53" s="625" t="s">
        <v>101</v>
      </c>
      <c r="G53" s="626"/>
      <c r="H53" s="44">
        <v>-0.125</v>
      </c>
      <c r="I53" s="44">
        <v>-0.125</v>
      </c>
      <c r="J53" s="44">
        <v>-0.125</v>
      </c>
      <c r="K53" s="44">
        <v>-0.25</v>
      </c>
      <c r="L53" s="44">
        <v>-0.25</v>
      </c>
      <c r="M53" s="44">
        <v>-0.25</v>
      </c>
      <c r="N53" s="44">
        <v>-0.25</v>
      </c>
      <c r="O53" s="44" t="s">
        <v>643</v>
      </c>
      <c r="P53" s="45" t="s">
        <v>643</v>
      </c>
      <c r="Q53" s="276"/>
      <c r="R53" s="276"/>
      <c r="S53" s="961"/>
      <c r="T53" s="962"/>
      <c r="U53" s="962"/>
      <c r="V53" s="963"/>
      <c r="W53" s="304"/>
    </row>
    <row r="54" spans="1:23" ht="15.75" thickBot="1" x14ac:dyDescent="0.3">
      <c r="A54" s="276"/>
      <c r="B54" s="323"/>
      <c r="C54" s="324"/>
      <c r="D54" s="284"/>
      <c r="E54" s="285"/>
      <c r="F54" s="931" t="s">
        <v>59</v>
      </c>
      <c r="G54" s="932"/>
      <c r="H54" s="932"/>
      <c r="I54" s="932"/>
      <c r="J54" s="932"/>
      <c r="K54" s="932"/>
      <c r="L54" s="932"/>
      <c r="M54" s="932"/>
      <c r="N54" s="932"/>
      <c r="O54" s="932"/>
      <c r="P54" s="932"/>
      <c r="Q54" s="276"/>
      <c r="R54" s="276"/>
      <c r="S54" s="961"/>
      <c r="T54" s="962"/>
      <c r="U54" s="962"/>
      <c r="V54" s="963"/>
      <c r="W54" s="304"/>
    </row>
    <row r="55" spans="1:23" x14ac:dyDescent="0.25">
      <c r="A55" s="276"/>
      <c r="B55" s="316" t="s">
        <v>65</v>
      </c>
      <c r="C55" s="318" t="s">
        <v>102</v>
      </c>
      <c r="D55" s="284"/>
      <c r="E55" s="276"/>
      <c r="F55" s="956" t="s">
        <v>103</v>
      </c>
      <c r="G55" s="957"/>
      <c r="H55" s="259">
        <v>-1</v>
      </c>
      <c r="I55" s="259">
        <v>-1</v>
      </c>
      <c r="J55" s="259">
        <v>-1</v>
      </c>
      <c r="K55" s="259">
        <v>-1</v>
      </c>
      <c r="L55" s="259">
        <v>-1</v>
      </c>
      <c r="M55" s="259">
        <v>-1</v>
      </c>
      <c r="N55" s="259">
        <v>-1</v>
      </c>
      <c r="O55" s="259">
        <v>-1</v>
      </c>
      <c r="P55" s="260" t="s">
        <v>643</v>
      </c>
      <c r="Q55" s="276"/>
      <c r="R55" s="276"/>
      <c r="S55" s="945" t="s">
        <v>104</v>
      </c>
      <c r="T55" s="946"/>
      <c r="U55" s="316" t="s">
        <v>105</v>
      </c>
      <c r="V55" s="318" t="s">
        <v>106</v>
      </c>
      <c r="W55" s="304"/>
    </row>
    <row r="56" spans="1:23" x14ac:dyDescent="0.25">
      <c r="A56" s="276"/>
      <c r="B56" s="61" t="s">
        <v>107</v>
      </c>
      <c r="C56" s="62">
        <v>-0.25</v>
      </c>
      <c r="D56" s="286"/>
      <c r="E56" s="287"/>
      <c r="F56" s="929" t="s">
        <v>108</v>
      </c>
      <c r="G56" s="930"/>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9" t="s">
        <v>113</v>
      </c>
      <c r="G57" s="930"/>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40" t="s">
        <v>116</v>
      </c>
      <c r="C58" s="942"/>
      <c r="D58" s="289"/>
      <c r="E58" s="276"/>
      <c r="F58" s="929" t="s">
        <v>117</v>
      </c>
      <c r="G58" s="930"/>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53" t="s">
        <v>121</v>
      </c>
      <c r="C59" s="954"/>
      <c r="D59" s="287"/>
      <c r="E59" s="276"/>
      <c r="F59" s="929" t="s">
        <v>122</v>
      </c>
      <c r="G59" s="930"/>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741"/>
      <c r="C60" s="955"/>
      <c r="D60" s="287"/>
      <c r="E60" s="276"/>
      <c r="F60" s="929" t="s">
        <v>126</v>
      </c>
      <c r="G60" s="930"/>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741"/>
      <c r="C61" s="955"/>
      <c r="D61" s="290"/>
      <c r="E61" s="276"/>
      <c r="F61" s="929" t="s">
        <v>130</v>
      </c>
      <c r="G61" s="930"/>
      <c r="H61" s="129">
        <v>0.625</v>
      </c>
      <c r="I61" s="129">
        <v>0.625</v>
      </c>
      <c r="J61" s="129">
        <v>0.625</v>
      </c>
      <c r="K61" s="129">
        <v>0.625</v>
      </c>
      <c r="L61" s="129">
        <v>0.625</v>
      </c>
      <c r="M61" s="129">
        <v>0.625</v>
      </c>
      <c r="N61" s="129">
        <v>0.625</v>
      </c>
      <c r="O61" s="129">
        <v>0.625</v>
      </c>
      <c r="P61" s="45" t="s">
        <v>643</v>
      </c>
      <c r="Q61" s="276"/>
      <c r="R61" s="276"/>
      <c r="S61" s="940" t="s">
        <v>135</v>
      </c>
      <c r="T61" s="949"/>
      <c r="U61" s="67" t="s">
        <v>120</v>
      </c>
      <c r="V61" s="75">
        <v>4</v>
      </c>
      <c r="W61" s="304"/>
    </row>
    <row r="62" spans="1:23" x14ac:dyDescent="0.25">
      <c r="A62" s="276"/>
      <c r="B62" s="741"/>
      <c r="C62" s="955"/>
      <c r="D62" s="291"/>
      <c r="E62" s="276"/>
      <c r="F62" s="929" t="s">
        <v>132</v>
      </c>
      <c r="G62" s="930"/>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741"/>
      <c r="C63" s="955"/>
      <c r="D63" s="291"/>
      <c r="E63" s="276"/>
      <c r="F63" s="929" t="s">
        <v>134</v>
      </c>
      <c r="G63" s="930"/>
      <c r="H63" s="129">
        <v>-0.5</v>
      </c>
      <c r="I63" s="129">
        <v>-0.5</v>
      </c>
      <c r="J63" s="129">
        <v>-0.5</v>
      </c>
      <c r="K63" s="129">
        <v>-0.5</v>
      </c>
      <c r="L63" s="129">
        <v>-0.5</v>
      </c>
      <c r="M63" s="129">
        <v>-0.5</v>
      </c>
      <c r="N63" s="129">
        <v>-0.5</v>
      </c>
      <c r="O63" s="129">
        <v>-0.5</v>
      </c>
      <c r="P63" s="45" t="s">
        <v>643</v>
      </c>
      <c r="Q63" s="301"/>
      <c r="R63" s="282"/>
      <c r="S63" s="940" t="s">
        <v>140</v>
      </c>
      <c r="T63" s="949"/>
      <c r="U63" s="80" t="s">
        <v>136</v>
      </c>
      <c r="V63" s="81">
        <v>0.25</v>
      </c>
      <c r="W63" s="304"/>
    </row>
    <row r="64" spans="1:23" x14ac:dyDescent="0.25">
      <c r="A64" s="276"/>
      <c r="B64" s="741"/>
      <c r="C64" s="955"/>
      <c r="D64" s="287"/>
      <c r="E64" s="276"/>
      <c r="F64" s="929" t="s">
        <v>137</v>
      </c>
      <c r="G64" s="930"/>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741"/>
      <c r="C65" s="955"/>
      <c r="D65" s="287"/>
      <c r="E65" s="276"/>
      <c r="F65" s="929" t="s">
        <v>139</v>
      </c>
      <c r="G65" s="930"/>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741"/>
      <c r="C66" s="955"/>
      <c r="D66" s="292"/>
      <c r="E66" s="276"/>
      <c r="F66" s="947" t="s">
        <v>142</v>
      </c>
      <c r="G66" s="948"/>
      <c r="H66" s="150">
        <v>0.875</v>
      </c>
      <c r="I66" s="150">
        <v>0.875</v>
      </c>
      <c r="J66" s="150">
        <v>0.875</v>
      </c>
      <c r="K66" s="150">
        <v>0.875</v>
      </c>
      <c r="L66" s="150">
        <v>0.875</v>
      </c>
      <c r="M66" s="150">
        <v>0.875</v>
      </c>
      <c r="N66" s="150">
        <v>0.875</v>
      </c>
      <c r="O66" s="150">
        <v>0.875</v>
      </c>
      <c r="P66" s="261" t="s">
        <v>643</v>
      </c>
      <c r="Q66" s="300"/>
      <c r="R66" s="276"/>
      <c r="S66" s="940" t="s">
        <v>147</v>
      </c>
      <c r="T66" s="949"/>
      <c r="U66" s="86" t="s">
        <v>143</v>
      </c>
      <c r="V66" s="81">
        <v>0</v>
      </c>
      <c r="W66" s="276"/>
    </row>
    <row r="67" spans="1:34" ht="15.75" customHeight="1" x14ac:dyDescent="0.25">
      <c r="A67" s="276"/>
      <c r="B67" s="741"/>
      <c r="C67" s="955"/>
      <c r="D67" s="293"/>
      <c r="E67" s="276"/>
      <c r="F67" s="950" t="s">
        <v>144</v>
      </c>
      <c r="G67" s="951"/>
      <c r="H67" s="951"/>
      <c r="I67" s="951"/>
      <c r="J67" s="951"/>
      <c r="K67" s="951"/>
      <c r="L67" s="951"/>
      <c r="M67" s="951"/>
      <c r="N67" s="951"/>
      <c r="O67" s="951"/>
      <c r="P67" s="952"/>
      <c r="Q67" s="300"/>
      <c r="R67" s="276"/>
      <c r="S67" s="687" t="s">
        <v>150</v>
      </c>
      <c r="T67" s="688"/>
      <c r="U67" s="80" t="s">
        <v>145</v>
      </c>
      <c r="V67" s="81">
        <v>-0.5</v>
      </c>
      <c r="W67" s="276"/>
      <c r="Y67" s="3"/>
    </row>
    <row r="68" spans="1:34" x14ac:dyDescent="0.25">
      <c r="A68" s="276"/>
      <c r="B68" s="741"/>
      <c r="C68" s="955"/>
      <c r="D68" s="287"/>
      <c r="E68" s="276"/>
      <c r="F68" s="929" t="s">
        <v>146</v>
      </c>
      <c r="G68" s="930"/>
      <c r="H68" s="44">
        <v>-0.25</v>
      </c>
      <c r="I68" s="44">
        <v>-0.25</v>
      </c>
      <c r="J68" s="44">
        <v>-0.25</v>
      </c>
      <c r="K68" s="44">
        <v>-0.375</v>
      </c>
      <c r="L68" s="44">
        <v>-0.5</v>
      </c>
      <c r="M68" s="44">
        <v>-0.5</v>
      </c>
      <c r="N68" s="44">
        <v>-0.5</v>
      </c>
      <c r="O68" s="44" t="s">
        <v>643</v>
      </c>
      <c r="P68" s="45" t="s">
        <v>643</v>
      </c>
      <c r="Q68" s="276"/>
      <c r="R68" s="276"/>
      <c r="S68" s="687" t="s">
        <v>153</v>
      </c>
      <c r="T68" s="688"/>
      <c r="U68" s="80" t="s">
        <v>148</v>
      </c>
      <c r="V68" s="81">
        <v>0</v>
      </c>
      <c r="W68" s="276"/>
      <c r="Y68" s="3"/>
      <c r="AD68" s="3"/>
      <c r="AE68" s="3"/>
      <c r="AF68" s="3"/>
      <c r="AG68" s="3"/>
      <c r="AH68" s="3"/>
    </row>
    <row r="69" spans="1:34" x14ac:dyDescent="0.25">
      <c r="A69" s="276"/>
      <c r="B69" s="741"/>
      <c r="C69" s="955"/>
      <c r="D69" s="292"/>
      <c r="E69" s="276"/>
      <c r="F69" s="929" t="s">
        <v>149</v>
      </c>
      <c r="G69" s="930"/>
      <c r="H69" s="44">
        <v>-0.25</v>
      </c>
      <c r="I69" s="44">
        <v>-0.25</v>
      </c>
      <c r="J69" s="44">
        <v>-0.5</v>
      </c>
      <c r="K69" s="44">
        <v>-0.5</v>
      </c>
      <c r="L69" s="44">
        <v>-0.75</v>
      </c>
      <c r="M69" s="44">
        <v>-0.75</v>
      </c>
      <c r="N69" s="44">
        <v>-0.75</v>
      </c>
      <c r="O69" s="44">
        <v>-1.25</v>
      </c>
      <c r="P69" s="45" t="s">
        <v>643</v>
      </c>
      <c r="Q69" s="276"/>
      <c r="R69" s="276"/>
      <c r="S69" s="687" t="s">
        <v>156</v>
      </c>
      <c r="T69" s="688"/>
      <c r="U69" s="80" t="s">
        <v>151</v>
      </c>
      <c r="V69" s="81">
        <v>-0.5</v>
      </c>
      <c r="W69" s="276"/>
      <c r="X69" s="3"/>
      <c r="Y69" s="3"/>
      <c r="AD69" s="3"/>
      <c r="AE69" s="3"/>
      <c r="AF69" s="3"/>
      <c r="AG69" s="3"/>
      <c r="AH69" s="3"/>
    </row>
    <row r="70" spans="1:34" ht="15.75" customHeight="1" x14ac:dyDescent="0.25">
      <c r="A70" s="276"/>
      <c r="B70" s="741"/>
      <c r="C70" s="955"/>
      <c r="D70" s="294"/>
      <c r="E70" s="276"/>
      <c r="F70" s="929" t="s">
        <v>152</v>
      </c>
      <c r="G70" s="930"/>
      <c r="H70" s="44">
        <v>-0.25</v>
      </c>
      <c r="I70" s="44">
        <v>-0.25</v>
      </c>
      <c r="J70" s="44">
        <v>-0.25</v>
      </c>
      <c r="K70" s="44">
        <v>-0.25</v>
      </c>
      <c r="L70" s="44">
        <v>-0.25</v>
      </c>
      <c r="M70" s="44">
        <v>-0.25</v>
      </c>
      <c r="N70" s="44">
        <v>-0.5</v>
      </c>
      <c r="O70" s="44">
        <v>-0.5</v>
      </c>
      <c r="P70" s="45">
        <v>-0.5</v>
      </c>
      <c r="Q70" s="276"/>
      <c r="R70" s="276"/>
      <c r="S70" s="687" t="s">
        <v>159</v>
      </c>
      <c r="T70" s="688"/>
      <c r="U70" s="327"/>
      <c r="V70" s="328"/>
      <c r="W70" s="276"/>
      <c r="X70" s="3"/>
      <c r="Y70" s="3"/>
      <c r="AD70" s="3"/>
      <c r="AE70" s="3"/>
      <c r="AF70" s="3"/>
      <c r="AG70" s="3"/>
      <c r="AH70" s="3"/>
    </row>
    <row r="71" spans="1:34" ht="15" customHeight="1" x14ac:dyDescent="0.25">
      <c r="A71" s="276"/>
      <c r="B71" s="945" t="s">
        <v>154</v>
      </c>
      <c r="C71" s="946"/>
      <c r="D71" s="295"/>
      <c r="E71" s="276"/>
      <c r="F71" s="929" t="s">
        <v>155</v>
      </c>
      <c r="G71" s="930"/>
      <c r="H71" s="44">
        <v>0</v>
      </c>
      <c r="I71" s="44">
        <v>0</v>
      </c>
      <c r="J71" s="44">
        <v>-0.25</v>
      </c>
      <c r="K71" s="44">
        <v>-0.25</v>
      </c>
      <c r="L71" s="44">
        <v>-0.25</v>
      </c>
      <c r="M71" s="44">
        <v>-0.25</v>
      </c>
      <c r="N71" s="44">
        <v>-0.25</v>
      </c>
      <c r="O71" s="44">
        <v>-0.5</v>
      </c>
      <c r="P71" s="45" t="s">
        <v>643</v>
      </c>
      <c r="Q71" s="276"/>
      <c r="R71" s="276"/>
      <c r="S71" s="687" t="s">
        <v>162</v>
      </c>
      <c r="T71" s="688"/>
      <c r="U71" s="327"/>
      <c r="V71" s="328"/>
      <c r="W71" s="276"/>
      <c r="X71" s="3"/>
      <c r="Y71" s="3"/>
      <c r="AD71" s="3"/>
      <c r="AE71" s="3"/>
      <c r="AF71" s="3"/>
      <c r="AG71" s="3"/>
      <c r="AH71" s="3"/>
    </row>
    <row r="72" spans="1:34" ht="17.25" customHeight="1" x14ac:dyDescent="0.25">
      <c r="A72" s="276"/>
      <c r="B72" s="943" t="s">
        <v>157</v>
      </c>
      <c r="C72" s="944"/>
      <c r="D72" s="295"/>
      <c r="E72" s="276"/>
      <c r="F72" s="929" t="s">
        <v>158</v>
      </c>
      <c r="G72" s="930"/>
      <c r="H72" s="44">
        <v>-1.5</v>
      </c>
      <c r="I72" s="44">
        <v>-1.5</v>
      </c>
      <c r="J72" s="44">
        <v>-1.5</v>
      </c>
      <c r="K72" s="44">
        <v>-1.5</v>
      </c>
      <c r="L72" s="44">
        <v>-1.5</v>
      </c>
      <c r="M72" s="44">
        <v>-2</v>
      </c>
      <c r="N72" s="44">
        <v>-2.25</v>
      </c>
      <c r="O72" s="44">
        <v>-2.25</v>
      </c>
      <c r="P72" s="45" t="s">
        <v>643</v>
      </c>
      <c r="Q72" s="276"/>
      <c r="R72" s="276"/>
      <c r="S72" s="940" t="s">
        <v>164</v>
      </c>
      <c r="T72" s="941"/>
      <c r="U72" s="327"/>
      <c r="V72" s="328"/>
      <c r="W72" s="276"/>
      <c r="X72" s="3"/>
      <c r="Y72" s="3"/>
      <c r="AD72" s="3"/>
      <c r="AE72" s="3"/>
      <c r="AF72" s="3"/>
      <c r="AG72" s="3"/>
      <c r="AH72" s="3"/>
    </row>
    <row r="73" spans="1:34" ht="15" customHeight="1" x14ac:dyDescent="0.25">
      <c r="A73" s="276"/>
      <c r="B73" s="931" t="s">
        <v>160</v>
      </c>
      <c r="C73" s="932"/>
      <c r="D73" s="295"/>
      <c r="E73" s="282"/>
      <c r="F73" s="929" t="s">
        <v>161</v>
      </c>
      <c r="G73" s="930"/>
      <c r="H73" s="44">
        <v>-1.5</v>
      </c>
      <c r="I73" s="44">
        <v>-1.5</v>
      </c>
      <c r="J73" s="44">
        <v>-1.5</v>
      </c>
      <c r="K73" s="44">
        <v>-1.5</v>
      </c>
      <c r="L73" s="44">
        <v>-1.5</v>
      </c>
      <c r="M73" s="44">
        <v>-1.75</v>
      </c>
      <c r="N73" s="44" t="s">
        <v>643</v>
      </c>
      <c r="O73" s="44" t="s">
        <v>643</v>
      </c>
      <c r="P73" s="45" t="s">
        <v>643</v>
      </c>
      <c r="Q73" s="276"/>
      <c r="R73" s="276"/>
      <c r="S73" s="687" t="s">
        <v>165</v>
      </c>
      <c r="T73" s="688"/>
      <c r="U73" s="329"/>
      <c r="V73" s="330"/>
      <c r="W73" s="276"/>
      <c r="X73" s="3"/>
      <c r="Y73" s="3"/>
      <c r="AD73" s="3"/>
      <c r="AE73" s="3"/>
      <c r="AF73" s="3"/>
      <c r="AG73" s="3"/>
      <c r="AH73" s="3"/>
    </row>
    <row r="74" spans="1:34" ht="15" customHeight="1" x14ac:dyDescent="0.25">
      <c r="A74" s="276"/>
      <c r="B74" s="715" t="s">
        <v>163</v>
      </c>
      <c r="C74" s="715"/>
      <c r="D74" s="295"/>
      <c r="E74" s="282"/>
      <c r="F74" s="929" t="s">
        <v>70</v>
      </c>
      <c r="G74" s="930"/>
      <c r="H74" s="44">
        <v>-0.5</v>
      </c>
      <c r="I74" s="44">
        <v>-0.5</v>
      </c>
      <c r="J74" s="44">
        <v>-0.5</v>
      </c>
      <c r="K74" s="44">
        <v>-0.5</v>
      </c>
      <c r="L74" s="44">
        <v>-0.5</v>
      </c>
      <c r="M74" s="44">
        <v>-0.5</v>
      </c>
      <c r="N74" s="44">
        <v>-0.5</v>
      </c>
      <c r="O74" s="44">
        <v>-0.5</v>
      </c>
      <c r="P74" s="45">
        <v>-0.5</v>
      </c>
      <c r="Q74" s="276"/>
      <c r="R74" s="276"/>
      <c r="S74" s="687" t="s">
        <v>166</v>
      </c>
      <c r="T74" s="688"/>
      <c r="U74" s="329"/>
      <c r="V74" s="330"/>
      <c r="W74" s="276"/>
      <c r="X74" s="3"/>
      <c r="Y74" s="3"/>
      <c r="AD74" s="3"/>
      <c r="AE74" s="3"/>
      <c r="AF74" s="3"/>
      <c r="AG74" s="3"/>
      <c r="AH74" s="3"/>
    </row>
    <row r="75" spans="1:34" ht="15" customHeight="1" x14ac:dyDescent="0.25">
      <c r="A75" s="276"/>
      <c r="B75" s="715"/>
      <c r="C75" s="715"/>
      <c r="D75" s="295"/>
      <c r="E75" s="282"/>
      <c r="F75" s="940" t="s">
        <v>34</v>
      </c>
      <c r="G75" s="941"/>
      <c r="H75" s="941"/>
      <c r="I75" s="941"/>
      <c r="J75" s="941"/>
      <c r="K75" s="941"/>
      <c r="L75" s="941"/>
      <c r="M75" s="941"/>
      <c r="N75" s="941"/>
      <c r="O75" s="941"/>
      <c r="P75" s="942"/>
      <c r="Q75" s="276"/>
      <c r="R75" s="276"/>
      <c r="S75" s="711" t="s">
        <v>168</v>
      </c>
      <c r="T75" s="712"/>
      <c r="U75" s="329"/>
      <c r="V75" s="330"/>
      <c r="W75" s="276"/>
      <c r="X75" s="3"/>
      <c r="Y75" s="3"/>
      <c r="AD75" s="3"/>
      <c r="AE75" s="3"/>
      <c r="AF75" s="3"/>
      <c r="AG75" s="3"/>
      <c r="AH75" s="3"/>
    </row>
    <row r="76" spans="1:34" ht="15" customHeight="1" x14ac:dyDescent="0.25">
      <c r="A76" s="276"/>
      <c r="B76" s="715"/>
      <c r="C76" s="715"/>
      <c r="D76" s="295"/>
      <c r="E76" s="282"/>
      <c r="F76" s="929" t="s">
        <v>35</v>
      </c>
      <c r="G76" s="930"/>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715"/>
      <c r="C77" s="715"/>
      <c r="D77" s="295"/>
      <c r="E77" s="282"/>
      <c r="F77" s="929" t="s">
        <v>167</v>
      </c>
      <c r="G77" s="930"/>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715"/>
      <c r="C78" s="715"/>
      <c r="D78" s="295"/>
      <c r="E78" s="282"/>
      <c r="F78" s="929" t="s">
        <v>169</v>
      </c>
      <c r="G78" s="930"/>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715"/>
      <c r="C79" s="715"/>
      <c r="D79" s="295"/>
      <c r="E79" s="282"/>
      <c r="F79" s="929" t="s">
        <v>170</v>
      </c>
      <c r="G79" s="930"/>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9" t="s">
        <v>171</v>
      </c>
      <c r="G80" s="930"/>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31" t="s">
        <v>37</v>
      </c>
      <c r="G81" s="932"/>
      <c r="H81" s="932"/>
      <c r="I81" s="932"/>
      <c r="J81" s="932"/>
      <c r="K81" s="932"/>
      <c r="L81" s="932"/>
      <c r="M81" s="932"/>
      <c r="N81" s="932"/>
      <c r="O81" s="932"/>
      <c r="P81" s="933"/>
      <c r="Q81" s="276"/>
      <c r="R81" s="276"/>
      <c r="S81" s="334"/>
      <c r="T81" s="329"/>
      <c r="U81" s="329"/>
      <c r="V81" s="330"/>
      <c r="W81" s="276"/>
    </row>
    <row r="82" spans="1:23" ht="15" customHeight="1" x14ac:dyDescent="0.25">
      <c r="A82" s="276"/>
      <c r="B82" s="339"/>
      <c r="C82" s="328"/>
      <c r="D82" s="295"/>
      <c r="E82" s="282"/>
      <c r="F82" s="934" t="s">
        <v>172</v>
      </c>
      <c r="G82" s="935"/>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36" t="s">
        <v>173</v>
      </c>
      <c r="G83" s="937"/>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36" t="s">
        <v>174</v>
      </c>
      <c r="G84" s="937"/>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38" t="s">
        <v>175</v>
      </c>
      <c r="G85" s="939"/>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8" t="s">
        <v>0</v>
      </c>
      <c r="M1" s="768"/>
      <c r="N1" s="768"/>
      <c r="O1" s="768"/>
      <c r="P1" s="113"/>
      <c r="Q1" s="113"/>
      <c r="R1" s="113"/>
      <c r="S1" s="3"/>
      <c r="T1" s="3"/>
      <c r="U1" s="3"/>
    </row>
    <row r="2" spans="1:22" ht="17.45" customHeight="1" x14ac:dyDescent="0.25">
      <c r="I2" s="114"/>
      <c r="J2" s="114"/>
      <c r="K2" s="114"/>
      <c r="L2" s="769" t="s">
        <v>1</v>
      </c>
      <c r="M2" s="769"/>
      <c r="N2" s="769"/>
      <c r="O2" s="769"/>
      <c r="P2" s="114"/>
      <c r="Q2" s="113"/>
      <c r="R2" s="113"/>
      <c r="S2" s="3"/>
      <c r="T2" s="3"/>
      <c r="U2" s="3"/>
      <c r="V2" s="115"/>
    </row>
    <row r="3" spans="1:22" ht="17.45" customHeight="1" x14ac:dyDescent="0.25">
      <c r="I3" s="114"/>
      <c r="J3" s="114"/>
      <c r="K3" s="114"/>
      <c r="L3" s="769" t="s">
        <v>2</v>
      </c>
      <c r="M3" s="769"/>
      <c r="N3" s="769"/>
      <c r="O3" s="769"/>
      <c r="P3" s="114"/>
      <c r="Q3" s="114"/>
      <c r="R3" s="114"/>
      <c r="V3" s="116"/>
    </row>
    <row r="4" spans="1:22" ht="17.45" customHeight="1" x14ac:dyDescent="0.25">
      <c r="H4" s="9"/>
      <c r="I4" s="9"/>
      <c r="J4" s="9"/>
      <c r="K4" s="117"/>
      <c r="L4" s="118"/>
      <c r="M4" s="118"/>
      <c r="N4" s="666"/>
      <c r="O4" s="666"/>
      <c r="R4" s="3"/>
      <c r="S4" s="3"/>
    </row>
    <row r="5" spans="1:22" ht="17.45" customHeight="1" thickBot="1" x14ac:dyDescent="0.3">
      <c r="H5" s="9"/>
      <c r="I5" s="9"/>
      <c r="J5" s="9"/>
      <c r="K5" s="10"/>
      <c r="L5" s="666" t="s">
        <v>3</v>
      </c>
      <c r="M5" s="666"/>
      <c r="N5" s="666">
        <v>45869</v>
      </c>
      <c r="O5" s="666"/>
      <c r="R5" s="3"/>
      <c r="S5" s="3"/>
    </row>
    <row r="6" spans="1:22" ht="17.45" customHeight="1" x14ac:dyDescent="0.25">
      <c r="A6" s="276"/>
      <c r="B6" s="974" t="s">
        <v>4</v>
      </c>
      <c r="C6" s="998"/>
      <c r="D6" s="975"/>
      <c r="E6" s="358"/>
      <c r="F6" s="974" t="s">
        <v>176</v>
      </c>
      <c r="G6" s="998"/>
      <c r="H6" s="998"/>
      <c r="I6" s="998"/>
      <c r="J6" s="998"/>
      <c r="K6" s="998"/>
      <c r="L6" s="998"/>
      <c r="M6" s="998"/>
      <c r="N6" s="998"/>
      <c r="O6" s="975"/>
      <c r="P6" s="276"/>
      <c r="Q6" s="978" t="s">
        <v>6</v>
      </c>
      <c r="R6" s="979"/>
      <c r="S6" s="979"/>
      <c r="T6" s="980"/>
      <c r="U6" s="276"/>
    </row>
    <row r="7" spans="1:22" ht="17.45" customHeight="1" thickBot="1" x14ac:dyDescent="0.3">
      <c r="A7" s="276"/>
      <c r="B7" s="976"/>
      <c r="C7" s="999"/>
      <c r="D7" s="977"/>
      <c r="E7" s="359"/>
      <c r="F7" s="976"/>
      <c r="G7" s="999"/>
      <c r="H7" s="999"/>
      <c r="I7" s="999"/>
      <c r="J7" s="999"/>
      <c r="K7" s="999"/>
      <c r="L7" s="999"/>
      <c r="M7" s="999"/>
      <c r="N7" s="999"/>
      <c r="O7" s="977"/>
      <c r="P7" s="276"/>
      <c r="Q7" s="984"/>
      <c r="R7" s="985"/>
      <c r="S7" s="985"/>
      <c r="T7" s="986"/>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87" t="s">
        <v>7</v>
      </c>
      <c r="C9" s="1000"/>
      <c r="D9" s="988"/>
      <c r="E9" s="301"/>
      <c r="F9" s="989" t="s">
        <v>8</v>
      </c>
      <c r="G9" s="990"/>
      <c r="H9" s="990"/>
      <c r="I9" s="990"/>
      <c r="J9" s="990"/>
      <c r="K9" s="990"/>
      <c r="L9" s="990"/>
      <c r="M9" s="990"/>
      <c r="N9" s="990"/>
      <c r="O9" s="991"/>
      <c r="P9" s="276"/>
      <c r="Q9" s="308"/>
      <c r="R9" s="309"/>
      <c r="S9" s="310" t="s">
        <v>9</v>
      </c>
      <c r="T9" s="311"/>
      <c r="U9" s="276"/>
    </row>
    <row r="10" spans="1:22" ht="15" customHeight="1" x14ac:dyDescent="0.25">
      <c r="A10" s="276"/>
      <c r="B10" s="312" t="s">
        <v>10</v>
      </c>
      <c r="C10" s="313" t="s">
        <v>177</v>
      </c>
      <c r="D10" s="314" t="s">
        <v>178</v>
      </c>
      <c r="E10" s="297"/>
      <c r="F10" s="925" t="s">
        <v>12</v>
      </c>
      <c r="G10" s="926"/>
      <c r="H10" s="313" t="s">
        <v>13</v>
      </c>
      <c r="I10" s="313" t="s">
        <v>14</v>
      </c>
      <c r="J10" s="313" t="s">
        <v>15</v>
      </c>
      <c r="K10" s="313" t="s">
        <v>16</v>
      </c>
      <c r="L10" s="313" t="s">
        <v>17</v>
      </c>
      <c r="M10" s="313" t="s">
        <v>18</v>
      </c>
      <c r="N10" s="313" t="s">
        <v>19</v>
      </c>
      <c r="O10" s="314" t="s">
        <v>20</v>
      </c>
      <c r="P10" s="276"/>
      <c r="Q10" s="927" t="s">
        <v>22</v>
      </c>
      <c r="R10" s="928"/>
      <c r="S10" s="124">
        <v>6.25</v>
      </c>
      <c r="T10" s="341"/>
      <c r="U10" s="276"/>
    </row>
    <row r="11" spans="1:22" ht="14.25" customHeight="1" x14ac:dyDescent="0.25">
      <c r="A11" s="276"/>
      <c r="B11" s="267">
        <v>6.25</v>
      </c>
      <c r="C11" s="340"/>
      <c r="D11" s="268"/>
      <c r="E11" s="281"/>
      <c r="F11" s="917" t="s">
        <v>23</v>
      </c>
      <c r="G11" s="918">
        <v>0</v>
      </c>
      <c r="H11" s="29">
        <v>0.625</v>
      </c>
      <c r="I11" s="29">
        <v>0.5</v>
      </c>
      <c r="J11" s="29">
        <v>0.5</v>
      </c>
      <c r="K11" s="29">
        <v>0.5</v>
      </c>
      <c r="L11" s="29">
        <v>0.375</v>
      </c>
      <c r="M11" s="29">
        <v>0.125</v>
      </c>
      <c r="N11" s="29">
        <v>-0.125</v>
      </c>
      <c r="O11" s="30">
        <v>-1.75</v>
      </c>
      <c r="P11" s="276"/>
      <c r="Q11" s="909" t="s">
        <v>24</v>
      </c>
      <c r="R11" s="910"/>
      <c r="S11" s="32" t="s">
        <v>32</v>
      </c>
      <c r="T11" s="342"/>
      <c r="U11" s="276"/>
    </row>
    <row r="12" spans="1:22" ht="15" customHeight="1" x14ac:dyDescent="0.25">
      <c r="A12" s="276"/>
      <c r="B12" s="267">
        <v>6.375</v>
      </c>
      <c r="C12" s="269"/>
      <c r="D12" s="268"/>
      <c r="E12" s="281"/>
      <c r="F12" s="917" t="s">
        <v>25</v>
      </c>
      <c r="G12" s="918">
        <v>0</v>
      </c>
      <c r="H12" s="35">
        <v>0.5</v>
      </c>
      <c r="I12" s="35">
        <v>0.5</v>
      </c>
      <c r="J12" s="29">
        <v>0.5</v>
      </c>
      <c r="K12" s="35">
        <v>0.375</v>
      </c>
      <c r="L12" s="35">
        <v>0.25</v>
      </c>
      <c r="M12" s="29">
        <v>0</v>
      </c>
      <c r="N12" s="29">
        <v>-0.375</v>
      </c>
      <c r="O12" s="30">
        <v>-2</v>
      </c>
      <c r="P12" s="276"/>
      <c r="Q12" s="909" t="s">
        <v>26</v>
      </c>
      <c r="R12" s="910"/>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7" t="s">
        <v>27</v>
      </c>
      <c r="G13" s="918">
        <v>0</v>
      </c>
      <c r="H13" s="35">
        <v>0.5</v>
      </c>
      <c r="I13" s="35">
        <v>0.375</v>
      </c>
      <c r="J13" s="29">
        <v>0.375</v>
      </c>
      <c r="K13" s="35">
        <v>0.25</v>
      </c>
      <c r="L13" s="35">
        <v>0</v>
      </c>
      <c r="M13" s="29">
        <v>-0.375</v>
      </c>
      <c r="N13" s="29">
        <v>-0.5</v>
      </c>
      <c r="O13" s="30">
        <v>-2.25</v>
      </c>
      <c r="P13" s="276"/>
      <c r="Q13" s="909" t="s">
        <v>28</v>
      </c>
      <c r="R13" s="910"/>
      <c r="S13" s="32" t="s">
        <v>182</v>
      </c>
      <c r="T13" s="342" t="e">
        <f>IF(OR($S$11="", $S$13=""), "",
   INDEX($H$23:$O$28,
         MATCH($S$13,$F$23:$F$28,0),
         MATCH($S$11,$H$10:$O$10,0)))</f>
        <v>#N/A</v>
      </c>
      <c r="U13" s="276"/>
    </row>
    <row r="14" spans="1:22" ht="15.75" customHeight="1" x14ac:dyDescent="0.25">
      <c r="A14" s="276"/>
      <c r="B14" s="267">
        <v>6.625</v>
      </c>
      <c r="C14" s="29">
        <v>99.53125</v>
      </c>
      <c r="D14" s="268"/>
      <c r="E14" s="281"/>
      <c r="F14" s="917" t="s">
        <v>30</v>
      </c>
      <c r="G14" s="918">
        <v>0</v>
      </c>
      <c r="H14" s="35">
        <v>0.375</v>
      </c>
      <c r="I14" s="35">
        <v>0.25</v>
      </c>
      <c r="J14" s="29">
        <v>0.25</v>
      </c>
      <c r="K14" s="35">
        <v>0</v>
      </c>
      <c r="L14" s="35">
        <v>-0.375</v>
      </c>
      <c r="M14" s="29">
        <v>-0.5</v>
      </c>
      <c r="N14" s="29">
        <v>-1</v>
      </c>
      <c r="O14" s="30">
        <v>-2.75</v>
      </c>
      <c r="P14" s="276"/>
      <c r="Q14" s="909" t="s">
        <v>31</v>
      </c>
      <c r="R14" s="910"/>
      <c r="S14" s="32" t="s">
        <v>32</v>
      </c>
      <c r="T14" s="342">
        <f>'Feed(WS)'!$O$180</f>
        <v>0</v>
      </c>
      <c r="U14" s="276"/>
      <c r="V14" s="33"/>
    </row>
    <row r="15" spans="1:22" ht="15" customHeight="1" x14ac:dyDescent="0.25">
      <c r="A15" s="276"/>
      <c r="B15" s="267">
        <v>6.75</v>
      </c>
      <c r="C15" s="29">
        <v>99.96875</v>
      </c>
      <c r="D15" s="268"/>
      <c r="E15" s="281"/>
      <c r="F15" s="917" t="s">
        <v>33</v>
      </c>
      <c r="G15" s="918">
        <v>0</v>
      </c>
      <c r="H15" s="35">
        <v>0.25</v>
      </c>
      <c r="I15" s="35">
        <v>0</v>
      </c>
      <c r="J15" s="29">
        <v>0</v>
      </c>
      <c r="K15" s="35">
        <v>-0.375</v>
      </c>
      <c r="L15" s="35">
        <v>-0.5</v>
      </c>
      <c r="M15" s="29">
        <v>-1</v>
      </c>
      <c r="N15" s="29">
        <v>-1.5</v>
      </c>
      <c r="O15" s="268" t="s">
        <v>643</v>
      </c>
      <c r="P15" s="276"/>
      <c r="Q15" s="909" t="s">
        <v>34</v>
      </c>
      <c r="R15" s="910"/>
      <c r="S15" s="32" t="s">
        <v>35</v>
      </c>
      <c r="T15" s="342" t="e">
        <f>IF(OR($S$11="", $S$15=""), "",
   INDEX($H$71:$O$75,
         MATCH($S$15,$F$71:$F$75,0),
         MATCH($S$11,$H$10:$O$10,0)))</f>
        <v>#N/A</v>
      </c>
      <c r="U15" s="276"/>
      <c r="V15" s="33"/>
    </row>
    <row r="16" spans="1:22" ht="14.25" customHeight="1" x14ac:dyDescent="0.25">
      <c r="A16" s="276"/>
      <c r="B16" s="267">
        <v>6.875</v>
      </c>
      <c r="C16" s="29">
        <v>100.390625</v>
      </c>
      <c r="D16" s="268"/>
      <c r="E16" s="281"/>
      <c r="F16" s="917" t="s">
        <v>36</v>
      </c>
      <c r="G16" s="918">
        <v>0</v>
      </c>
      <c r="H16" s="35">
        <v>0</v>
      </c>
      <c r="I16" s="35">
        <v>-0.375</v>
      </c>
      <c r="J16" s="29">
        <v>-0.375</v>
      </c>
      <c r="K16" s="35">
        <v>-0.5</v>
      </c>
      <c r="L16" s="35">
        <v>-1</v>
      </c>
      <c r="M16" s="29">
        <v>-1.5</v>
      </c>
      <c r="N16" s="29">
        <v>-2.5</v>
      </c>
      <c r="O16" s="268" t="s">
        <v>643</v>
      </c>
      <c r="P16" s="276"/>
      <c r="Q16" s="909" t="s">
        <v>37</v>
      </c>
      <c r="R16" s="910"/>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7" t="s">
        <v>39</v>
      </c>
      <c r="G17" s="918">
        <v>0</v>
      </c>
      <c r="H17" s="35">
        <v>-0.5</v>
      </c>
      <c r="I17" s="35">
        <v>-0.5</v>
      </c>
      <c r="J17" s="29">
        <v>-0.5</v>
      </c>
      <c r="K17" s="35">
        <v>-1</v>
      </c>
      <c r="L17" s="35">
        <v>-1.5</v>
      </c>
      <c r="M17" s="29">
        <v>-2.25</v>
      </c>
      <c r="N17" s="269" t="s">
        <v>643</v>
      </c>
      <c r="O17" s="268" t="s">
        <v>643</v>
      </c>
      <c r="P17" s="276"/>
      <c r="Q17" s="909" t="s">
        <v>40</v>
      </c>
      <c r="R17" s="910"/>
      <c r="S17" s="32" t="s">
        <v>177</v>
      </c>
      <c r="T17" s="342">
        <v>0</v>
      </c>
      <c r="U17" s="276"/>
      <c r="V17" s="33"/>
    </row>
    <row r="18" spans="1:26" ht="15" customHeight="1" x14ac:dyDescent="0.25">
      <c r="A18" s="276"/>
      <c r="B18" s="267">
        <v>7.125</v>
      </c>
      <c r="C18" s="29">
        <v>101.171875</v>
      </c>
      <c r="D18" s="268"/>
      <c r="E18" s="281"/>
      <c r="F18" s="917" t="s">
        <v>41</v>
      </c>
      <c r="G18" s="918">
        <v>0</v>
      </c>
      <c r="H18" s="35">
        <v>-1</v>
      </c>
      <c r="I18" s="35">
        <v>-1.25</v>
      </c>
      <c r="J18" s="29">
        <v>-1.25</v>
      </c>
      <c r="K18" s="35">
        <v>-1.75</v>
      </c>
      <c r="L18" s="35">
        <v>-2.25</v>
      </c>
      <c r="M18" s="29">
        <v>-3.25</v>
      </c>
      <c r="N18" s="269" t="s">
        <v>643</v>
      </c>
      <c r="O18" s="268" t="s">
        <v>643</v>
      </c>
      <c r="P18" s="276"/>
      <c r="Q18" s="909" t="s">
        <v>42</v>
      </c>
      <c r="R18" s="910"/>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7" t="s">
        <v>43</v>
      </c>
      <c r="G19" s="918">
        <v>0</v>
      </c>
      <c r="H19" s="35">
        <v>-1.75</v>
      </c>
      <c r="I19" s="35">
        <v>-2</v>
      </c>
      <c r="J19" s="29">
        <v>-2</v>
      </c>
      <c r="K19" s="35">
        <v>-2.5</v>
      </c>
      <c r="L19" s="35">
        <v>-3</v>
      </c>
      <c r="M19" s="269" t="s">
        <v>643</v>
      </c>
      <c r="N19" s="269" t="s">
        <v>643</v>
      </c>
      <c r="O19" s="268" t="s">
        <v>643</v>
      </c>
      <c r="P19" s="276"/>
      <c r="Q19" s="909" t="s">
        <v>44</v>
      </c>
      <c r="R19" s="910"/>
      <c r="S19" s="32" t="s">
        <v>217</v>
      </c>
      <c r="T19" s="342">
        <f>'Feed(WS)'!$R$175</f>
        <v>0</v>
      </c>
      <c r="U19" s="276"/>
      <c r="V19" s="33"/>
    </row>
    <row r="20" spans="1:26" ht="15.75" customHeight="1" x14ac:dyDescent="0.25">
      <c r="A20" s="276"/>
      <c r="B20" s="267">
        <v>7.375</v>
      </c>
      <c r="C20" s="29">
        <v>101.921875</v>
      </c>
      <c r="D20" s="268"/>
      <c r="E20" s="281"/>
      <c r="F20" s="925"/>
      <c r="G20" s="926"/>
      <c r="H20" s="313"/>
      <c r="I20" s="313"/>
      <c r="J20" s="313"/>
      <c r="K20" s="313"/>
      <c r="L20" s="313"/>
      <c r="M20" s="313"/>
      <c r="N20" s="313"/>
      <c r="O20" s="314"/>
      <c r="P20" s="276"/>
      <c r="Q20" s="909" t="s">
        <v>46</v>
      </c>
      <c r="R20" s="910"/>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58"/>
      <c r="G21" s="959"/>
      <c r="H21" s="959"/>
      <c r="I21" s="959"/>
      <c r="J21" s="959"/>
      <c r="K21" s="959"/>
      <c r="L21" s="959"/>
      <c r="M21" s="959"/>
      <c r="N21" s="959"/>
      <c r="O21" s="960"/>
      <c r="P21" s="276"/>
      <c r="Q21" s="909" t="s">
        <v>47</v>
      </c>
      <c r="R21" s="910"/>
      <c r="S21" s="32" t="s">
        <v>69</v>
      </c>
      <c r="T21" s="342" t="e">
        <f>IF(OR($S$11="", $S$21=""), "",
   INDEX($H$30:$O$34,
         MATCH($S$21,$F$30:$F$34,0),
         MATCH($S$11,$H$10:$O$10,0)))</f>
        <v>#N/A</v>
      </c>
      <c r="U21" s="276"/>
      <c r="V21" s="33"/>
    </row>
    <row r="22" spans="1:26" x14ac:dyDescent="0.25">
      <c r="A22" s="276"/>
      <c r="B22" s="267">
        <v>7.625</v>
      </c>
      <c r="C22" s="29">
        <v>102.578125</v>
      </c>
      <c r="D22" s="30">
        <v>99</v>
      </c>
      <c r="E22" s="281"/>
      <c r="F22" s="945" t="s">
        <v>28</v>
      </c>
      <c r="G22" s="968"/>
      <c r="H22" s="968"/>
      <c r="I22" s="968"/>
      <c r="J22" s="968"/>
      <c r="K22" s="968"/>
      <c r="L22" s="968"/>
      <c r="M22" s="968"/>
      <c r="N22" s="968"/>
      <c r="O22" s="946"/>
      <c r="P22" s="276"/>
      <c r="Q22" s="909" t="s">
        <v>48</v>
      </c>
      <c r="R22" s="910"/>
      <c r="S22" s="32" t="s">
        <v>68</v>
      </c>
      <c r="T22" s="342">
        <v>0</v>
      </c>
      <c r="U22" s="997"/>
      <c r="V22" s="33"/>
    </row>
    <row r="23" spans="1:26" x14ac:dyDescent="0.25">
      <c r="A23" s="276"/>
      <c r="B23" s="267">
        <v>7.75</v>
      </c>
      <c r="C23" s="29">
        <v>102.859375</v>
      </c>
      <c r="D23" s="30">
        <v>99.25</v>
      </c>
      <c r="E23" s="281"/>
      <c r="F23" s="640" t="s">
        <v>180</v>
      </c>
      <c r="G23" s="641"/>
      <c r="H23" s="35">
        <v>0.5</v>
      </c>
      <c r="I23" s="35">
        <v>0.5</v>
      </c>
      <c r="J23" s="35">
        <v>0.5</v>
      </c>
      <c r="K23" s="35">
        <v>0.5</v>
      </c>
      <c r="L23" s="35">
        <v>0.5</v>
      </c>
      <c r="M23" s="35">
        <v>0.5</v>
      </c>
      <c r="N23" s="35" t="s">
        <v>643</v>
      </c>
      <c r="O23" s="36" t="s">
        <v>643</v>
      </c>
      <c r="P23" s="276"/>
      <c r="Q23" s="909" t="s">
        <v>50</v>
      </c>
      <c r="R23" s="910"/>
      <c r="S23" s="32" t="s">
        <v>239</v>
      </c>
      <c r="T23" s="342">
        <v>0</v>
      </c>
      <c r="U23" s="997"/>
      <c r="V23" s="33"/>
      <c r="Z23" s="46"/>
    </row>
    <row r="24" spans="1:26" ht="15.75" customHeight="1" x14ac:dyDescent="0.25">
      <c r="A24" s="276"/>
      <c r="B24" s="267">
        <v>7.875</v>
      </c>
      <c r="C24" s="29">
        <v>103.140625</v>
      </c>
      <c r="D24" s="30">
        <v>99.5</v>
      </c>
      <c r="E24" s="281"/>
      <c r="F24" s="640" t="s">
        <v>181</v>
      </c>
      <c r="G24" s="641"/>
      <c r="H24" s="35">
        <v>0</v>
      </c>
      <c r="I24" s="35">
        <v>0</v>
      </c>
      <c r="J24" s="35">
        <v>0</v>
      </c>
      <c r="K24" s="35">
        <v>0</v>
      </c>
      <c r="L24" s="35">
        <v>0</v>
      </c>
      <c r="M24" s="35">
        <v>0</v>
      </c>
      <c r="N24" s="35">
        <v>0</v>
      </c>
      <c r="O24" s="36">
        <v>0</v>
      </c>
      <c r="P24" s="276"/>
      <c r="Q24" s="909" t="s">
        <v>51</v>
      </c>
      <c r="R24" s="910"/>
      <c r="S24" s="32" t="s">
        <v>32</v>
      </c>
      <c r="T24" s="342">
        <f>'Feed(WS)'!$P$175</f>
        <v>0</v>
      </c>
      <c r="U24" s="997"/>
      <c r="V24" s="33"/>
      <c r="Z24" s="46"/>
    </row>
    <row r="25" spans="1:26" ht="15.75" customHeight="1" x14ac:dyDescent="0.25">
      <c r="A25" s="276"/>
      <c r="B25" s="267">
        <v>7.9989999999999997</v>
      </c>
      <c r="C25" s="29">
        <v>103.421875</v>
      </c>
      <c r="D25" s="30">
        <v>100</v>
      </c>
      <c r="E25" s="281"/>
      <c r="F25" s="640" t="s">
        <v>182</v>
      </c>
      <c r="G25" s="641"/>
      <c r="H25" s="35">
        <v>0</v>
      </c>
      <c r="I25" s="35">
        <v>0</v>
      </c>
      <c r="J25" s="35">
        <v>0</v>
      </c>
      <c r="K25" s="35">
        <v>0</v>
      </c>
      <c r="L25" s="35">
        <v>0</v>
      </c>
      <c r="M25" s="35">
        <v>0</v>
      </c>
      <c r="N25" s="35">
        <v>0</v>
      </c>
      <c r="O25" s="35">
        <v>0</v>
      </c>
      <c r="P25" s="276"/>
      <c r="Q25" s="909" t="s">
        <v>53</v>
      </c>
      <c r="R25" s="910"/>
      <c r="S25" s="32" t="s">
        <v>54</v>
      </c>
      <c r="T25" s="342" t="e">
        <f>'Feed(WS)'!$O$175</f>
        <v>#N/A</v>
      </c>
      <c r="U25" s="997"/>
      <c r="V25" s="33"/>
    </row>
    <row r="26" spans="1:26" x14ac:dyDescent="0.25">
      <c r="A26" s="276"/>
      <c r="B26" s="267">
        <v>8.125</v>
      </c>
      <c r="C26" s="29">
        <v>103.703125</v>
      </c>
      <c r="D26" s="30">
        <v>100.25</v>
      </c>
      <c r="E26" s="281"/>
      <c r="F26" s="640" t="s">
        <v>183</v>
      </c>
      <c r="G26" s="641"/>
      <c r="H26" s="35">
        <v>-2</v>
      </c>
      <c r="I26" s="35">
        <v>-2</v>
      </c>
      <c r="J26" s="35">
        <v>-2</v>
      </c>
      <c r="K26" s="35">
        <v>-2</v>
      </c>
      <c r="L26" s="35">
        <v>-2</v>
      </c>
      <c r="M26" s="35">
        <v>-2</v>
      </c>
      <c r="N26" s="35" t="s">
        <v>643</v>
      </c>
      <c r="O26" s="36" t="s">
        <v>643</v>
      </c>
      <c r="P26" s="276"/>
      <c r="Q26" s="909" t="s">
        <v>56</v>
      </c>
      <c r="R26" s="910"/>
      <c r="S26" s="32" t="s">
        <v>57</v>
      </c>
      <c r="T26" s="342">
        <f>'Feed(WS)'!$Q$180</f>
        <v>0</v>
      </c>
      <c r="U26" s="997"/>
      <c r="V26" s="33"/>
    </row>
    <row r="27" spans="1:26" ht="15.75" customHeight="1" x14ac:dyDescent="0.25">
      <c r="A27" s="276"/>
      <c r="B27" s="267">
        <v>8.25</v>
      </c>
      <c r="C27" s="29">
        <v>103.984375</v>
      </c>
      <c r="D27" s="30">
        <v>100.5</v>
      </c>
      <c r="E27" s="281"/>
      <c r="F27" s="640" t="s">
        <v>184</v>
      </c>
      <c r="G27" s="641"/>
      <c r="H27" s="35">
        <v>-3</v>
      </c>
      <c r="I27" s="35">
        <v>-3</v>
      </c>
      <c r="J27" s="35">
        <v>-3</v>
      </c>
      <c r="K27" s="35">
        <v>-3</v>
      </c>
      <c r="L27" s="35">
        <v>-3</v>
      </c>
      <c r="M27" s="35" t="s">
        <v>643</v>
      </c>
      <c r="N27" s="35" t="s">
        <v>643</v>
      </c>
      <c r="O27" s="36" t="s">
        <v>643</v>
      </c>
      <c r="P27" s="276"/>
      <c r="Q27" s="909" t="s">
        <v>59</v>
      </c>
      <c r="R27" s="910"/>
      <c r="S27" s="32" t="s">
        <v>32</v>
      </c>
      <c r="T27" s="342">
        <f>IF($S$11="", "",
   IF($S$27="Choose a Selection",0,
      INDEX($H$51:$O$62,
           MATCH($S$27,$F$51:$F$62,0),
           MATCH($S$11,$H$10:$O$10,0))))</f>
        <v>0</v>
      </c>
      <c r="U27" s="997"/>
      <c r="V27" s="33"/>
      <c r="W27" s="3"/>
      <c r="X27" s="3"/>
      <c r="Y27" s="3"/>
    </row>
    <row r="28" spans="1:26" ht="15.75" customHeight="1" x14ac:dyDescent="0.25">
      <c r="A28" s="276"/>
      <c r="B28" s="267">
        <v>8.375</v>
      </c>
      <c r="C28" s="29">
        <v>104.265625</v>
      </c>
      <c r="D28" s="30">
        <v>100.75</v>
      </c>
      <c r="E28" s="281"/>
      <c r="F28" s="640" t="s">
        <v>185</v>
      </c>
      <c r="G28" s="641"/>
      <c r="H28" s="35">
        <v>-0.5</v>
      </c>
      <c r="I28" s="35">
        <v>-0.5</v>
      </c>
      <c r="J28" s="35">
        <v>-0.5</v>
      </c>
      <c r="K28" s="35">
        <v>-0.5</v>
      </c>
      <c r="L28" s="35">
        <v>-0.5</v>
      </c>
      <c r="M28" s="35">
        <v>-0.5</v>
      </c>
      <c r="N28" s="35">
        <v>-0.5</v>
      </c>
      <c r="O28" s="36" t="s">
        <v>643</v>
      </c>
      <c r="P28" s="276"/>
      <c r="Q28" s="909" t="s">
        <v>61</v>
      </c>
      <c r="R28" s="910"/>
      <c r="S28" s="32"/>
      <c r="T28" s="342">
        <v>0</v>
      </c>
      <c r="U28" s="997"/>
      <c r="V28" s="33"/>
      <c r="W28" s="3"/>
      <c r="X28" s="3"/>
      <c r="Y28" s="3"/>
    </row>
    <row r="29" spans="1:26" x14ac:dyDescent="0.25">
      <c r="A29" s="276"/>
      <c r="B29" s="267">
        <v>8.4990000000000006</v>
      </c>
      <c r="C29" s="29">
        <v>104.546875</v>
      </c>
      <c r="D29" s="30">
        <v>101</v>
      </c>
      <c r="E29" s="281"/>
      <c r="F29" s="945" t="s">
        <v>48</v>
      </c>
      <c r="G29" s="968"/>
      <c r="H29" s="968"/>
      <c r="I29" s="968"/>
      <c r="J29" s="968"/>
      <c r="K29" s="968"/>
      <c r="L29" s="968"/>
      <c r="M29" s="968"/>
      <c r="N29" s="968"/>
      <c r="O29" s="946"/>
      <c r="P29" s="276"/>
      <c r="Q29" s="909" t="s">
        <v>63</v>
      </c>
      <c r="R29" s="910"/>
      <c r="S29" s="32" t="s">
        <v>32</v>
      </c>
      <c r="T29" s="342">
        <f>'Feed(WS)'!$O$185</f>
        <v>0</v>
      </c>
      <c r="U29" s="997"/>
      <c r="V29" s="33"/>
      <c r="W29" s="47"/>
      <c r="X29" s="47"/>
      <c r="Y29" s="47"/>
    </row>
    <row r="30" spans="1:26" x14ac:dyDescent="0.25">
      <c r="A30" s="276"/>
      <c r="B30" s="267">
        <v>8.625</v>
      </c>
      <c r="C30" s="29">
        <v>104.796875</v>
      </c>
      <c r="D30" s="30">
        <v>101.25</v>
      </c>
      <c r="E30" s="281"/>
      <c r="F30" s="929" t="s">
        <v>69</v>
      </c>
      <c r="G30" s="930"/>
      <c r="H30" s="35">
        <v>0</v>
      </c>
      <c r="I30" s="35">
        <v>0</v>
      </c>
      <c r="J30" s="35">
        <v>0</v>
      </c>
      <c r="K30" s="35">
        <v>0</v>
      </c>
      <c r="L30" s="35">
        <v>0</v>
      </c>
      <c r="M30" s="35">
        <v>0</v>
      </c>
      <c r="N30" s="35">
        <v>0</v>
      </c>
      <c r="O30" s="36">
        <v>0</v>
      </c>
      <c r="P30" s="276"/>
      <c r="Q30" s="909" t="s">
        <v>65</v>
      </c>
      <c r="R30" s="910"/>
      <c r="S30" s="48" t="s">
        <v>66</v>
      </c>
      <c r="T30" s="342" t="e">
        <f>'Feed(WS)'!$R$180</f>
        <v>#N/A</v>
      </c>
      <c r="U30" s="997"/>
      <c r="V30" s="33"/>
    </row>
    <row r="31" spans="1:26" x14ac:dyDescent="0.25">
      <c r="A31" s="276"/>
      <c r="B31" s="267">
        <v>8.75</v>
      </c>
      <c r="C31" s="29">
        <v>105.046875</v>
      </c>
      <c r="D31" s="30">
        <v>101.5</v>
      </c>
      <c r="E31" s="281"/>
      <c r="F31" s="929" t="s">
        <v>71</v>
      </c>
      <c r="G31" s="930"/>
      <c r="H31" s="35">
        <v>0</v>
      </c>
      <c r="I31" s="35">
        <v>0</v>
      </c>
      <c r="J31" s="35">
        <v>0</v>
      </c>
      <c r="K31" s="35">
        <v>0</v>
      </c>
      <c r="L31" s="35">
        <v>-0.25</v>
      </c>
      <c r="M31" s="35">
        <v>-0.375</v>
      </c>
      <c r="N31" s="35">
        <v>-0.5</v>
      </c>
      <c r="O31" s="36">
        <v>-0.5</v>
      </c>
      <c r="P31" s="276"/>
      <c r="Q31" s="909" t="s">
        <v>67</v>
      </c>
      <c r="R31" s="910"/>
      <c r="S31" s="48" t="s">
        <v>68</v>
      </c>
      <c r="T31" s="342" cm="1">
        <f t="array" ref="T31">IF(OR(
      AND(OR($S$31='Feed(WS)'!$R$4:$R$5), $S$21&lt;&gt;'Feed(WS)'!$J$3),
      AND(OR($S$31='Feed(WS)'!$R$4:$R$5), $S$25&lt;&gt;'Feed(WS)'!$M$4),
      AND(OR($S$31='Feed(WS)'!$R$4:$R$5), $S$21&lt;&gt;'Feed(WS)'!$L$3:$L$4),
   ),
   NA(),
   0)</f>
        <v>0</v>
      </c>
      <c r="U31" s="997"/>
      <c r="V31" s="33"/>
    </row>
    <row r="32" spans="1:26" x14ac:dyDescent="0.25">
      <c r="A32" s="276"/>
      <c r="B32" s="267">
        <v>8.875</v>
      </c>
      <c r="C32" s="29">
        <v>105.296875</v>
      </c>
      <c r="D32" s="30">
        <v>101.75</v>
      </c>
      <c r="E32" s="281"/>
      <c r="F32" s="929" t="s">
        <v>73</v>
      </c>
      <c r="G32" s="930"/>
      <c r="H32" s="35">
        <v>-0.125</v>
      </c>
      <c r="I32" s="35">
        <v>-0.125</v>
      </c>
      <c r="J32" s="35">
        <v>-0.375</v>
      </c>
      <c r="K32" s="35">
        <v>-0.5</v>
      </c>
      <c r="L32" s="35">
        <v>-0.75</v>
      </c>
      <c r="M32" s="35">
        <v>-1</v>
      </c>
      <c r="N32" s="35" t="s">
        <v>643</v>
      </c>
      <c r="O32" s="36" t="s">
        <v>643</v>
      </c>
      <c r="P32" s="276"/>
      <c r="Q32" s="909" t="s">
        <v>70</v>
      </c>
      <c r="R32" s="910"/>
      <c r="S32" s="48" t="s">
        <v>68</v>
      </c>
      <c r="T32" s="342">
        <v>0</v>
      </c>
      <c r="U32" s="997"/>
      <c r="V32" s="33"/>
    </row>
    <row r="33" spans="1:26" ht="15.75" customHeight="1" x14ac:dyDescent="0.25">
      <c r="A33" s="276"/>
      <c r="B33" s="267">
        <v>8.9990000000000006</v>
      </c>
      <c r="C33" s="29">
        <v>105.546875</v>
      </c>
      <c r="D33" s="30">
        <v>102.25</v>
      </c>
      <c r="E33" s="281"/>
      <c r="F33" s="929" t="s">
        <v>76</v>
      </c>
      <c r="G33" s="930"/>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7"/>
      <c r="V33" s="33"/>
    </row>
    <row r="34" spans="1:26" x14ac:dyDescent="0.25">
      <c r="A34" s="276"/>
      <c r="B34" s="267">
        <v>9.125</v>
      </c>
      <c r="C34" s="29">
        <v>105.796875</v>
      </c>
      <c r="D34" s="30">
        <v>102.5</v>
      </c>
      <c r="E34" s="281"/>
      <c r="F34" s="929" t="s">
        <v>77</v>
      </c>
      <c r="G34" s="930"/>
      <c r="H34" s="35">
        <v>-0.5</v>
      </c>
      <c r="I34" s="35">
        <v>-0.5</v>
      </c>
      <c r="J34" s="35">
        <v>-0.625</v>
      </c>
      <c r="K34" s="35">
        <v>-0.75</v>
      </c>
      <c r="L34" s="35">
        <v>-1</v>
      </c>
      <c r="M34" s="35">
        <v>-1.25</v>
      </c>
      <c r="N34" s="35" t="s">
        <v>643</v>
      </c>
      <c r="O34" s="36" t="s">
        <v>643</v>
      </c>
      <c r="P34" s="276"/>
      <c r="Q34" s="270" t="s">
        <v>74</v>
      </c>
      <c r="R34" s="271"/>
      <c r="S34" s="49" t="s">
        <v>75</v>
      </c>
      <c r="T34" s="342">
        <v>0</v>
      </c>
      <c r="U34" s="997"/>
      <c r="V34" s="33"/>
    </row>
    <row r="35" spans="1:26" ht="15.75" customHeight="1" x14ac:dyDescent="0.25">
      <c r="A35" s="276"/>
      <c r="B35" s="267">
        <v>9.25</v>
      </c>
      <c r="C35" s="29">
        <v>105.921875</v>
      </c>
      <c r="D35" s="30">
        <v>102.75</v>
      </c>
      <c r="E35" s="281"/>
      <c r="F35" s="945" t="s">
        <v>79</v>
      </c>
      <c r="G35" s="968"/>
      <c r="H35" s="968"/>
      <c r="I35" s="968"/>
      <c r="J35" s="968"/>
      <c r="K35" s="968"/>
      <c r="L35" s="968"/>
      <c r="M35" s="968"/>
      <c r="N35" s="968"/>
      <c r="O35" s="946"/>
      <c r="P35" s="276"/>
      <c r="Q35" s="909" t="s">
        <v>208</v>
      </c>
      <c r="R35" s="910"/>
      <c r="S35" s="49" t="str">
        <f>IF(V36=0,'Feed(WS)'!Y4,'Feed(WS)'!Y5)</f>
        <v>Not Applicable</v>
      </c>
      <c r="T35" s="342" t="b">
        <f>'Feed(WS)'!$Z$1</f>
        <v>0</v>
      </c>
      <c r="U35" s="997"/>
      <c r="V35" s="33"/>
    </row>
    <row r="36" spans="1:26" x14ac:dyDescent="0.25">
      <c r="A36" s="276"/>
      <c r="B36" s="267">
        <v>9.375</v>
      </c>
      <c r="C36" s="29">
        <v>106.046875</v>
      </c>
      <c r="D36" s="30">
        <v>103</v>
      </c>
      <c r="E36" s="281"/>
      <c r="F36" s="929" t="s">
        <v>81</v>
      </c>
      <c r="G36" s="930"/>
      <c r="H36" s="35">
        <v>-0.25</v>
      </c>
      <c r="I36" s="35">
        <v>-0.5</v>
      </c>
      <c r="J36" s="35">
        <v>-0.5</v>
      </c>
      <c r="K36" s="35">
        <v>-0.5</v>
      </c>
      <c r="L36" s="35">
        <v>-0.75</v>
      </c>
      <c r="M36" s="35">
        <v>-1</v>
      </c>
      <c r="N36" s="35">
        <v>-1.25</v>
      </c>
      <c r="O36" s="36">
        <v>-1.5</v>
      </c>
      <c r="P36" s="276"/>
      <c r="Q36" s="911" t="s">
        <v>78</v>
      </c>
      <c r="R36" s="912"/>
      <c r="S36" s="913"/>
      <c r="T36" s="273" t="e">
        <f>SUM($T$12:$T$35)</f>
        <v>#N/A</v>
      </c>
      <c r="U36" s="997"/>
      <c r="V36" s="33"/>
    </row>
    <row r="37" spans="1:26" ht="15.75" customHeight="1" x14ac:dyDescent="0.25">
      <c r="A37" s="276"/>
      <c r="B37" s="267">
        <v>9.4990000000000006</v>
      </c>
      <c r="C37" s="29">
        <v>106.171875</v>
      </c>
      <c r="D37" s="30">
        <v>103.25</v>
      </c>
      <c r="E37" s="281"/>
      <c r="F37" s="929" t="s">
        <v>83</v>
      </c>
      <c r="G37" s="930"/>
      <c r="H37" s="35">
        <v>0</v>
      </c>
      <c r="I37" s="35">
        <v>0</v>
      </c>
      <c r="J37" s="35">
        <v>0</v>
      </c>
      <c r="K37" s="35">
        <v>0</v>
      </c>
      <c r="L37" s="35">
        <v>0</v>
      </c>
      <c r="M37" s="35">
        <v>0</v>
      </c>
      <c r="N37" s="35">
        <v>-0.25</v>
      </c>
      <c r="O37" s="36">
        <v>-0.5</v>
      </c>
      <c r="P37" s="276"/>
      <c r="Q37" s="911" t="s">
        <v>80</v>
      </c>
      <c r="R37" s="912"/>
      <c r="S37" s="913"/>
      <c r="T37" s="273" cm="1">
        <f t="array" ref="T37">IF(AND($S$24='Feed(WS)'!$K$6,$S$17='Feed(WS)'!$D$5),INDEX($B$10:$D$50,MATCH($S$10,$B$10:$B$50,0),MATCH($S$24,$B$10:$D$10,0)),INDEX($B$10:$D$50,MATCH($S$10,$B$10:$B$50,0),MATCH($S$17,$B$10:$D$10,0)+1))</f>
        <v>0</v>
      </c>
      <c r="U37" s="997"/>
      <c r="V37" s="33"/>
      <c r="Z37" s="47"/>
    </row>
    <row r="38" spans="1:26" ht="15.75" customHeight="1" x14ac:dyDescent="0.25">
      <c r="A38" s="276"/>
      <c r="B38" s="267">
        <v>9.625</v>
      </c>
      <c r="C38" s="29">
        <v>106.296875</v>
      </c>
      <c r="D38" s="30">
        <v>103.5</v>
      </c>
      <c r="E38" s="281"/>
      <c r="F38" s="929" t="s">
        <v>85</v>
      </c>
      <c r="G38" s="930"/>
      <c r="H38" s="35">
        <v>0</v>
      </c>
      <c r="I38" s="35">
        <v>0</v>
      </c>
      <c r="J38" s="35">
        <v>0</v>
      </c>
      <c r="K38" s="35">
        <v>0</v>
      </c>
      <c r="L38" s="35">
        <v>0</v>
      </c>
      <c r="M38" s="35">
        <v>0</v>
      </c>
      <c r="N38" s="35">
        <v>0</v>
      </c>
      <c r="O38" s="36">
        <v>0</v>
      </c>
      <c r="P38" s="276"/>
      <c r="Q38" s="911" t="s">
        <v>82</v>
      </c>
      <c r="R38" s="912"/>
      <c r="S38" s="913"/>
      <c r="T38" s="273" t="str">
        <f>IFERROR(IF(AND($U$10&lt;&gt;'Feed(WS)'!$K$134,$T$39=$T$64),NA(),$T$37+$T$36),"#N/A")</f>
        <v>#N/A</v>
      </c>
      <c r="U38" s="997"/>
      <c r="V38" s="33"/>
    </row>
    <row r="39" spans="1:26" ht="15.75" customHeight="1" x14ac:dyDescent="0.25">
      <c r="A39" s="276"/>
      <c r="B39" s="267">
        <v>9.75</v>
      </c>
      <c r="C39" s="29">
        <v>106.421875</v>
      </c>
      <c r="D39" s="30">
        <v>103.75</v>
      </c>
      <c r="E39" s="281"/>
      <c r="F39" s="640" t="s">
        <v>87</v>
      </c>
      <c r="G39" s="641"/>
      <c r="H39" s="35">
        <v>0.375</v>
      </c>
      <c r="I39" s="35">
        <v>0.25</v>
      </c>
      <c r="J39" s="35">
        <v>0.25</v>
      </c>
      <c r="K39" s="35">
        <v>0.25</v>
      </c>
      <c r="L39" s="35">
        <v>0.25</v>
      </c>
      <c r="M39" s="35">
        <v>0</v>
      </c>
      <c r="N39" s="35">
        <v>0</v>
      </c>
      <c r="O39" s="36">
        <v>0</v>
      </c>
      <c r="P39" s="276"/>
      <c r="Q39" s="911" t="s">
        <v>84</v>
      </c>
      <c r="R39" s="912"/>
      <c r="S39" s="913"/>
      <c r="T39" s="273" t="e">
        <f>IF(OR('Feed(WS)'!$E$147=0, ISERROR('Feed(WS)'!$E$147)), NA(), 'Feed(WS)'!$E$147)</f>
        <v>#N/A</v>
      </c>
      <c r="U39" s="997"/>
      <c r="V39" s="33"/>
    </row>
    <row r="40" spans="1:26" ht="14.25" customHeight="1" x14ac:dyDescent="0.25">
      <c r="A40" s="276"/>
      <c r="B40" s="267">
        <v>9.875</v>
      </c>
      <c r="C40" s="29">
        <v>106.546875</v>
      </c>
      <c r="D40" s="30">
        <v>104</v>
      </c>
      <c r="E40" s="281"/>
      <c r="F40" s="640" t="s">
        <v>88</v>
      </c>
      <c r="G40" s="641"/>
      <c r="H40" s="35">
        <v>0</v>
      </c>
      <c r="I40" s="35">
        <v>0</v>
      </c>
      <c r="J40" s="35">
        <v>0</v>
      </c>
      <c r="K40" s="35">
        <v>0</v>
      </c>
      <c r="L40" s="35">
        <v>0</v>
      </c>
      <c r="M40" s="35">
        <v>0</v>
      </c>
      <c r="N40" s="35">
        <v>0</v>
      </c>
      <c r="O40" s="36">
        <v>0</v>
      </c>
      <c r="P40" s="276"/>
      <c r="Q40" s="914" t="s">
        <v>86</v>
      </c>
      <c r="R40" s="915"/>
      <c r="S40" s="924"/>
      <c r="T40" s="274" t="e">
        <f>IF(OR($T$36="#NA",$T$37="#NA"),NA(),IF(AND($U$9&lt;&gt;'Feed(WS)'!$K$134,$T$39=$T$64),NA(),IF($T$38&gt;$T$39,$T$39,$T$38)))</f>
        <v>#N/A</v>
      </c>
      <c r="U40" s="997"/>
      <c r="V40" s="33"/>
    </row>
    <row r="41" spans="1:26" ht="14.25" customHeight="1" x14ac:dyDescent="0.25">
      <c r="A41" s="276"/>
      <c r="B41" s="267">
        <v>9.9990000000000006</v>
      </c>
      <c r="C41" s="29">
        <v>106.671875</v>
      </c>
      <c r="D41" s="30">
        <v>104.25</v>
      </c>
      <c r="E41" s="281"/>
      <c r="F41" s="640" t="s">
        <v>90</v>
      </c>
      <c r="G41" s="641"/>
      <c r="H41" s="35">
        <v>-0.125</v>
      </c>
      <c r="I41" s="35">
        <v>-0.125</v>
      </c>
      <c r="J41" s="35">
        <v>-0.125</v>
      </c>
      <c r="K41" s="35">
        <v>-0.25</v>
      </c>
      <c r="L41" s="35">
        <v>-0.25</v>
      </c>
      <c r="M41" s="35">
        <v>-0.25</v>
      </c>
      <c r="N41" s="35">
        <v>-0.5</v>
      </c>
      <c r="O41" s="36" t="s">
        <v>643</v>
      </c>
      <c r="P41" s="276"/>
      <c r="Q41" s="914" t="str" cm="1">
        <f t="array" ref="Q41">IF(OR($S$11:$S$25="Choose a Selection"),"",CONCATENATE('Feed(WS)'!$I$134," ",'Feed(WS)'!$K$134,"%"&amp;" @ "&amp;'Feed(WS)'!$L$134))</f>
        <v/>
      </c>
      <c r="R41" s="915"/>
      <c r="S41" s="915"/>
      <c r="T41" s="916"/>
      <c r="U41" s="997"/>
      <c r="V41" s="33"/>
    </row>
    <row r="42" spans="1:26" ht="15.75" customHeight="1" x14ac:dyDescent="0.25">
      <c r="A42" s="276"/>
      <c r="B42" s="267">
        <v>10.125</v>
      </c>
      <c r="C42" s="29">
        <v>106.796875</v>
      </c>
      <c r="D42" s="30">
        <v>104.5</v>
      </c>
      <c r="E42" s="281"/>
      <c r="F42" s="640" t="s">
        <v>91</v>
      </c>
      <c r="G42" s="641"/>
      <c r="H42" s="35">
        <v>-0.375</v>
      </c>
      <c r="I42" s="35">
        <v>-0.375</v>
      </c>
      <c r="J42" s="35">
        <v>-0.5</v>
      </c>
      <c r="K42" s="35">
        <v>-0.5</v>
      </c>
      <c r="L42" s="35">
        <v>-0.5</v>
      </c>
      <c r="M42" s="35">
        <v>-0.5</v>
      </c>
      <c r="N42" s="35">
        <v>-0.75</v>
      </c>
      <c r="O42" s="36" t="s">
        <v>643</v>
      </c>
      <c r="P42" s="276"/>
      <c r="Q42" s="964" t="s">
        <v>89</v>
      </c>
      <c r="R42" s="964"/>
      <c r="S42" s="964"/>
      <c r="T42" s="965"/>
      <c r="U42" s="997"/>
      <c r="V42" s="33"/>
    </row>
    <row r="43" spans="1:26" ht="14.25" customHeight="1" x14ac:dyDescent="0.25">
      <c r="A43" s="276"/>
      <c r="B43" s="267">
        <v>10.25</v>
      </c>
      <c r="C43" s="29">
        <v>106.921875</v>
      </c>
      <c r="D43" s="30">
        <v>104.75</v>
      </c>
      <c r="E43" s="281"/>
      <c r="F43" s="640" t="s">
        <v>92</v>
      </c>
      <c r="G43" s="641"/>
      <c r="H43" s="35">
        <v>-1</v>
      </c>
      <c r="I43" s="35">
        <v>-1</v>
      </c>
      <c r="J43" s="35">
        <v>-1</v>
      </c>
      <c r="K43" s="35">
        <v>-1</v>
      </c>
      <c r="L43" s="35">
        <v>-1.25</v>
      </c>
      <c r="M43" s="35">
        <v>-1.5</v>
      </c>
      <c r="N43" s="35" t="s">
        <v>643</v>
      </c>
      <c r="O43" s="36" t="s">
        <v>643</v>
      </c>
      <c r="P43" s="276"/>
      <c r="Q43" s="966"/>
      <c r="R43" s="966"/>
      <c r="S43" s="966"/>
      <c r="T43" s="967"/>
      <c r="U43" s="997"/>
      <c r="V43" s="33"/>
    </row>
    <row r="44" spans="1:26" ht="15.75" customHeight="1" x14ac:dyDescent="0.25">
      <c r="A44" s="276"/>
      <c r="B44" s="267">
        <v>10.375</v>
      </c>
      <c r="C44" s="29">
        <v>107.046875</v>
      </c>
      <c r="D44" s="30">
        <v>105</v>
      </c>
      <c r="E44" s="281"/>
      <c r="F44" s="640" t="s">
        <v>93</v>
      </c>
      <c r="G44" s="641"/>
      <c r="H44" s="35">
        <v>-2</v>
      </c>
      <c r="I44" s="35">
        <v>-2.25</v>
      </c>
      <c r="J44" s="35">
        <v>-2.5</v>
      </c>
      <c r="K44" s="35">
        <v>-3</v>
      </c>
      <c r="L44" s="35" t="s">
        <v>643</v>
      </c>
      <c r="M44" s="35" t="s">
        <v>643</v>
      </c>
      <c r="N44" s="35" t="s">
        <v>643</v>
      </c>
      <c r="O44" s="36" t="s">
        <v>643</v>
      </c>
      <c r="P44" s="276"/>
      <c r="Q44" s="966"/>
      <c r="R44" s="966"/>
      <c r="S44" s="966"/>
      <c r="T44" s="967"/>
      <c r="U44" s="997"/>
      <c r="V44" s="33"/>
    </row>
    <row r="45" spans="1:26" ht="14.25" customHeight="1" x14ac:dyDescent="0.25">
      <c r="A45" s="276"/>
      <c r="B45" s="267">
        <v>10.499000000000001</v>
      </c>
      <c r="C45" s="29">
        <v>107.171875</v>
      </c>
      <c r="D45" s="30">
        <v>105.25</v>
      </c>
      <c r="E45" s="281"/>
      <c r="F45" s="945" t="s">
        <v>186</v>
      </c>
      <c r="G45" s="968"/>
      <c r="H45" s="968"/>
      <c r="I45" s="968"/>
      <c r="J45" s="968"/>
      <c r="K45" s="968"/>
      <c r="L45" s="968"/>
      <c r="M45" s="968"/>
      <c r="N45" s="968"/>
      <c r="O45" s="946"/>
      <c r="P45" s="276"/>
      <c r="Q45" s="966"/>
      <c r="R45" s="966"/>
      <c r="S45" s="966"/>
      <c r="T45" s="967"/>
      <c r="U45" s="997"/>
      <c r="V45" s="33"/>
    </row>
    <row r="46" spans="1:26" ht="14.25" customHeight="1" x14ac:dyDescent="0.25">
      <c r="A46" s="276"/>
      <c r="B46" s="267">
        <v>10.625</v>
      </c>
      <c r="C46" s="29">
        <v>107.296875</v>
      </c>
      <c r="D46" s="30">
        <v>105.5</v>
      </c>
      <c r="E46" s="281"/>
      <c r="F46" s="929" t="s">
        <v>99</v>
      </c>
      <c r="G46" s="930"/>
      <c r="H46" s="35">
        <v>-1</v>
      </c>
      <c r="I46" s="35">
        <v>-1</v>
      </c>
      <c r="J46" s="35">
        <v>-1</v>
      </c>
      <c r="K46" s="35">
        <v>-1</v>
      </c>
      <c r="L46" s="35">
        <v>-1</v>
      </c>
      <c r="M46" s="35">
        <v>-1.5</v>
      </c>
      <c r="N46" s="35" t="s">
        <v>643</v>
      </c>
      <c r="O46" s="36" t="s">
        <v>643</v>
      </c>
      <c r="P46" s="276"/>
      <c r="Q46" s="972"/>
      <c r="R46" s="972"/>
      <c r="S46" s="972"/>
      <c r="T46" s="973"/>
      <c r="U46" s="997"/>
      <c r="V46" s="33"/>
    </row>
    <row r="47" spans="1:26" ht="14.25" customHeight="1" x14ac:dyDescent="0.25">
      <c r="A47" s="276"/>
      <c r="B47" s="267">
        <v>10.75</v>
      </c>
      <c r="C47" s="29">
        <v>107.421875</v>
      </c>
      <c r="D47" s="30">
        <v>105.75</v>
      </c>
      <c r="E47" s="281"/>
      <c r="F47" s="929" t="s">
        <v>187</v>
      </c>
      <c r="G47" s="930"/>
      <c r="H47" s="35">
        <v>-0.5</v>
      </c>
      <c r="I47" s="35">
        <v>-0.5</v>
      </c>
      <c r="J47" s="35">
        <v>-0.5</v>
      </c>
      <c r="K47" s="35">
        <v>-0.5</v>
      </c>
      <c r="L47" s="35">
        <v>-0.625</v>
      </c>
      <c r="M47" s="35">
        <v>-0.75</v>
      </c>
      <c r="N47" s="35">
        <v>-1</v>
      </c>
      <c r="O47" s="36" t="s">
        <v>643</v>
      </c>
      <c r="P47" s="276"/>
      <c r="Q47" s="964" t="s">
        <v>95</v>
      </c>
      <c r="R47" s="964"/>
      <c r="S47" s="964"/>
      <c r="T47" s="965"/>
      <c r="U47" s="997"/>
      <c r="V47" s="33"/>
    </row>
    <row r="48" spans="1:26" ht="15.75" customHeight="1" x14ac:dyDescent="0.25">
      <c r="A48" s="276"/>
      <c r="B48" s="267">
        <v>10.875</v>
      </c>
      <c r="C48" s="29">
        <v>107.546875</v>
      </c>
      <c r="D48" s="30">
        <v>106</v>
      </c>
      <c r="E48" s="281"/>
      <c r="F48" s="929" t="s">
        <v>100</v>
      </c>
      <c r="G48" s="930"/>
      <c r="H48" s="35">
        <v>0</v>
      </c>
      <c r="I48" s="35">
        <v>0</v>
      </c>
      <c r="J48" s="35">
        <v>0</v>
      </c>
      <c r="K48" s="35">
        <v>0</v>
      </c>
      <c r="L48" s="35">
        <v>0</v>
      </c>
      <c r="M48" s="35">
        <v>0</v>
      </c>
      <c r="N48" s="35">
        <v>0</v>
      </c>
      <c r="O48" s="36" t="s">
        <v>643</v>
      </c>
      <c r="P48" s="276"/>
      <c r="Q48" s="966"/>
      <c r="R48" s="966"/>
      <c r="S48" s="966"/>
      <c r="T48" s="967"/>
      <c r="U48" s="360"/>
      <c r="V48" s="33"/>
    </row>
    <row r="49" spans="1:22" ht="15.75" customHeight="1" x14ac:dyDescent="0.25">
      <c r="A49" s="276"/>
      <c r="B49" s="267">
        <v>10.999000000000001</v>
      </c>
      <c r="C49" s="29">
        <v>107.671875</v>
      </c>
      <c r="D49" s="30">
        <v>106.25</v>
      </c>
      <c r="E49" s="281"/>
      <c r="F49" s="929" t="s">
        <v>101</v>
      </c>
      <c r="G49" s="930"/>
      <c r="H49" s="35">
        <v>-0.25</v>
      </c>
      <c r="I49" s="35">
        <v>-0.25</v>
      </c>
      <c r="J49" s="35">
        <v>-0.25</v>
      </c>
      <c r="K49" s="35">
        <v>-0.25</v>
      </c>
      <c r="L49" s="35">
        <v>-0.25</v>
      </c>
      <c r="M49" s="35">
        <v>-0.25</v>
      </c>
      <c r="N49" s="35">
        <v>-0.25</v>
      </c>
      <c r="O49" s="36" t="s">
        <v>643</v>
      </c>
      <c r="P49" s="276"/>
      <c r="Q49" s="966"/>
      <c r="R49" s="966"/>
      <c r="S49" s="966"/>
      <c r="T49" s="967"/>
      <c r="U49" s="282"/>
      <c r="V49" s="33"/>
    </row>
    <row r="50" spans="1:22" x14ac:dyDescent="0.25">
      <c r="A50" s="276"/>
      <c r="B50" s="267">
        <v>11.125</v>
      </c>
      <c r="C50" s="29">
        <v>107.796875</v>
      </c>
      <c r="D50" s="30">
        <v>106.5</v>
      </c>
      <c r="E50" s="281"/>
      <c r="F50" s="929" t="s">
        <v>196</v>
      </c>
      <c r="G50" s="930"/>
      <c r="H50" s="35">
        <v>0</v>
      </c>
      <c r="I50" s="35">
        <v>0</v>
      </c>
      <c r="J50" s="35">
        <v>0</v>
      </c>
      <c r="K50" s="35">
        <v>0</v>
      </c>
      <c r="L50" s="35">
        <v>0</v>
      </c>
      <c r="M50" s="35">
        <v>0</v>
      </c>
      <c r="N50" s="35">
        <v>0</v>
      </c>
      <c r="O50" s="36" t="s">
        <v>643</v>
      </c>
      <c r="P50" s="276"/>
      <c r="Q50" s="966"/>
      <c r="R50" s="966"/>
      <c r="S50" s="966"/>
      <c r="T50" s="967"/>
      <c r="U50" s="276"/>
      <c r="V50" s="33"/>
    </row>
    <row r="51" spans="1:22" ht="13.5" customHeight="1" x14ac:dyDescent="0.25">
      <c r="A51" s="276"/>
      <c r="B51" s="346"/>
      <c r="C51" s="346"/>
      <c r="D51" s="346"/>
      <c r="E51" s="276"/>
      <c r="F51" s="945" t="s">
        <v>59</v>
      </c>
      <c r="G51" s="968"/>
      <c r="H51" s="968"/>
      <c r="I51" s="968"/>
      <c r="J51" s="968"/>
      <c r="K51" s="968"/>
      <c r="L51" s="968"/>
      <c r="M51" s="968"/>
      <c r="N51" s="968"/>
      <c r="O51" s="946"/>
      <c r="P51" s="282"/>
      <c r="Q51" s="346"/>
      <c r="R51" s="346"/>
      <c r="S51" s="346"/>
      <c r="T51" s="346"/>
      <c r="U51" s="276"/>
    </row>
    <row r="52" spans="1:22" ht="15.75" customHeight="1" x14ac:dyDescent="0.25">
      <c r="A52" s="276"/>
      <c r="B52" s="347"/>
      <c r="C52" s="347"/>
      <c r="D52" s="347"/>
      <c r="E52" s="276"/>
      <c r="F52" s="640" t="s">
        <v>103</v>
      </c>
      <c r="G52" s="641"/>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40" t="s">
        <v>108</v>
      </c>
      <c r="G53" s="641"/>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40" t="s">
        <v>113</v>
      </c>
      <c r="G54" s="641"/>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5" t="s">
        <v>65</v>
      </c>
      <c r="C55" s="995"/>
      <c r="D55" s="325" t="s">
        <v>102</v>
      </c>
      <c r="E55" s="284"/>
      <c r="F55" s="640" t="s">
        <v>117</v>
      </c>
      <c r="G55" s="641"/>
      <c r="H55" s="129">
        <v>-0.5</v>
      </c>
      <c r="I55" s="129">
        <v>-0.5</v>
      </c>
      <c r="J55" s="129">
        <v>-0.5</v>
      </c>
      <c r="K55" s="129">
        <v>-0.5</v>
      </c>
      <c r="L55" s="129">
        <v>-0.5</v>
      </c>
      <c r="M55" s="129">
        <v>-0.5</v>
      </c>
      <c r="N55" s="129">
        <v>-0.5</v>
      </c>
      <c r="O55" s="130">
        <v>-0.5</v>
      </c>
      <c r="P55" s="276"/>
      <c r="Q55" s="996" t="s">
        <v>104</v>
      </c>
      <c r="R55" s="949"/>
      <c r="S55" s="325" t="s">
        <v>63</v>
      </c>
      <c r="T55" s="325" t="s">
        <v>102</v>
      </c>
      <c r="U55" s="276"/>
    </row>
    <row r="56" spans="1:22" ht="15.75" customHeight="1" x14ac:dyDescent="0.25">
      <c r="A56" s="276"/>
      <c r="B56" s="758" t="s">
        <v>107</v>
      </c>
      <c r="C56" s="758"/>
      <c r="D56" s="134">
        <v>-0.25</v>
      </c>
      <c r="E56" s="286"/>
      <c r="F56" s="640" t="s">
        <v>122</v>
      </c>
      <c r="G56" s="641"/>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58" t="s">
        <v>112</v>
      </c>
      <c r="C57" s="758"/>
      <c r="D57" s="134">
        <v>-0.5</v>
      </c>
      <c r="E57" s="288"/>
      <c r="F57" s="640" t="s">
        <v>126</v>
      </c>
      <c r="G57" s="641"/>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31" t="s">
        <v>116</v>
      </c>
      <c r="C58" s="932"/>
      <c r="D58" s="932"/>
      <c r="E58" s="289"/>
      <c r="F58" s="640" t="s">
        <v>130</v>
      </c>
      <c r="G58" s="641"/>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56" t="s">
        <v>191</v>
      </c>
      <c r="C59" s="757"/>
      <c r="D59" s="757"/>
      <c r="E59" s="287"/>
      <c r="F59" s="640" t="s">
        <v>132</v>
      </c>
      <c r="G59" s="641"/>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56"/>
      <c r="C60" s="757"/>
      <c r="D60" s="757"/>
      <c r="E60" s="287"/>
      <c r="F60" s="640" t="s">
        <v>134</v>
      </c>
      <c r="G60" s="641"/>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56"/>
      <c r="C61" s="757"/>
      <c r="D61" s="757"/>
      <c r="E61" s="290"/>
      <c r="F61" s="640" t="s">
        <v>137</v>
      </c>
      <c r="G61" s="641"/>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56"/>
      <c r="C62" s="757"/>
      <c r="D62" s="757"/>
      <c r="E62" s="291"/>
      <c r="F62" s="640" t="s">
        <v>139</v>
      </c>
      <c r="G62" s="641"/>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56"/>
      <c r="C63" s="757"/>
      <c r="D63" s="757"/>
      <c r="E63" s="291"/>
      <c r="F63" s="640" t="s">
        <v>142</v>
      </c>
      <c r="G63" s="641"/>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56"/>
      <c r="C64" s="757"/>
      <c r="D64" s="757"/>
      <c r="E64" s="287"/>
      <c r="F64" s="940" t="s">
        <v>144</v>
      </c>
      <c r="G64" s="941"/>
      <c r="H64" s="941"/>
      <c r="I64" s="941"/>
      <c r="J64" s="941"/>
      <c r="K64" s="941"/>
      <c r="L64" s="941"/>
      <c r="M64" s="941"/>
      <c r="N64" s="941"/>
      <c r="O64" s="942"/>
      <c r="P64" s="282"/>
      <c r="Q64" s="135" t="s">
        <v>196</v>
      </c>
      <c r="R64" s="138">
        <v>100</v>
      </c>
      <c r="S64" s="80" t="s">
        <v>54</v>
      </c>
      <c r="T64" s="140">
        <v>0</v>
      </c>
      <c r="U64" s="276"/>
      <c r="V64" s="3"/>
    </row>
    <row r="65" spans="1:35" ht="15.75" customHeight="1" x14ac:dyDescent="0.25">
      <c r="A65" s="276"/>
      <c r="B65" s="756"/>
      <c r="C65" s="757"/>
      <c r="D65" s="757"/>
      <c r="E65" s="287"/>
      <c r="F65" s="640" t="s">
        <v>146</v>
      </c>
      <c r="G65" s="641"/>
      <c r="H65" s="35">
        <v>-0.25</v>
      </c>
      <c r="I65" s="35">
        <v>-0.25</v>
      </c>
      <c r="J65" s="35">
        <v>-0.25</v>
      </c>
      <c r="K65" s="35">
        <v>-0.375</v>
      </c>
      <c r="L65" s="35">
        <v>-0.5</v>
      </c>
      <c r="M65" s="35">
        <v>-0.5</v>
      </c>
      <c r="N65" s="35">
        <v>-0.5</v>
      </c>
      <c r="O65" s="36" t="s">
        <v>643</v>
      </c>
      <c r="P65" s="276"/>
      <c r="Q65" s="995" t="s">
        <v>135</v>
      </c>
      <c r="R65" s="995"/>
      <c r="S65" s="80" t="s">
        <v>141</v>
      </c>
      <c r="T65" s="140">
        <v>-0.5</v>
      </c>
      <c r="U65" s="276"/>
      <c r="V65" s="3"/>
    </row>
    <row r="66" spans="1:35" ht="15.75" customHeight="1" x14ac:dyDescent="0.25">
      <c r="A66" s="276"/>
      <c r="B66" s="756"/>
      <c r="C66" s="757"/>
      <c r="D66" s="757"/>
      <c r="E66" s="292"/>
      <c r="F66" s="640" t="s">
        <v>197</v>
      </c>
      <c r="G66" s="641"/>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56"/>
      <c r="C67" s="757"/>
      <c r="D67" s="757"/>
      <c r="E67" s="293"/>
      <c r="F67" s="640" t="s">
        <v>152</v>
      </c>
      <c r="G67" s="641"/>
      <c r="H67" s="35">
        <v>-0.25</v>
      </c>
      <c r="I67" s="35">
        <v>-0.25</v>
      </c>
      <c r="J67" s="35">
        <v>-0.25</v>
      </c>
      <c r="K67" s="35">
        <v>-0.25</v>
      </c>
      <c r="L67" s="35">
        <v>-0.25</v>
      </c>
      <c r="M67" s="35">
        <v>-0.5</v>
      </c>
      <c r="N67" s="35">
        <v>-0.5</v>
      </c>
      <c r="O67" s="36">
        <v>-0.5</v>
      </c>
      <c r="P67" s="276"/>
      <c r="Q67" s="996" t="s">
        <v>140</v>
      </c>
      <c r="R67" s="949"/>
      <c r="S67" s="80" t="s">
        <v>145</v>
      </c>
      <c r="T67" s="140">
        <v>-0.5</v>
      </c>
      <c r="U67" s="276"/>
      <c r="V67" s="3"/>
    </row>
    <row r="68" spans="1:35" x14ac:dyDescent="0.25">
      <c r="A68" s="276"/>
      <c r="B68" s="756"/>
      <c r="C68" s="757"/>
      <c r="D68" s="757"/>
      <c r="E68" s="287"/>
      <c r="F68" s="640" t="s">
        <v>158</v>
      </c>
      <c r="G68" s="641"/>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69" t="s">
        <v>154</v>
      </c>
      <c r="C69" s="970"/>
      <c r="D69" s="970"/>
      <c r="E69" s="292"/>
      <c r="F69" s="640" t="s">
        <v>161</v>
      </c>
      <c r="G69" s="641"/>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993" t="s">
        <v>157</v>
      </c>
      <c r="C70" s="994"/>
      <c r="D70" s="994"/>
      <c r="E70" s="294"/>
      <c r="F70" s="640" t="s">
        <v>70</v>
      </c>
      <c r="G70" s="641"/>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31" t="s">
        <v>160</v>
      </c>
      <c r="C71" s="932"/>
      <c r="D71" s="932"/>
      <c r="E71" s="295"/>
      <c r="F71" s="940" t="s">
        <v>34</v>
      </c>
      <c r="G71" s="941"/>
      <c r="H71" s="941"/>
      <c r="I71" s="941"/>
      <c r="J71" s="941"/>
      <c r="K71" s="941"/>
      <c r="L71" s="941"/>
      <c r="M71" s="941"/>
      <c r="N71" s="941"/>
      <c r="O71" s="942"/>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715" t="s">
        <v>163</v>
      </c>
      <c r="C72" s="755"/>
      <c r="D72" s="755"/>
      <c r="E72" s="295"/>
      <c r="F72" s="640" t="s">
        <v>35</v>
      </c>
      <c r="G72" s="641"/>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55"/>
      <c r="C73" s="755"/>
      <c r="D73" s="755"/>
      <c r="E73" s="295"/>
      <c r="F73" s="640" t="s">
        <v>167</v>
      </c>
      <c r="G73" s="641"/>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55"/>
      <c r="C74" s="755"/>
      <c r="D74" s="755"/>
      <c r="E74" s="295"/>
      <c r="F74" s="640" t="s">
        <v>169</v>
      </c>
      <c r="G74" s="641"/>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55"/>
      <c r="C75" s="755"/>
      <c r="D75" s="755"/>
      <c r="E75" s="295"/>
      <c r="F75" s="640" t="s">
        <v>170</v>
      </c>
      <c r="G75" s="641"/>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992"/>
      <c r="C76" s="992"/>
      <c r="D76" s="992"/>
      <c r="E76" s="295"/>
      <c r="F76" s="640" t="s">
        <v>171</v>
      </c>
      <c r="G76" s="641"/>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40" t="s">
        <v>37</v>
      </c>
      <c r="G77" s="941"/>
      <c r="H77" s="941"/>
      <c r="I77" s="941"/>
      <c r="J77" s="941"/>
      <c r="K77" s="941"/>
      <c r="L77" s="941"/>
      <c r="M77" s="941"/>
      <c r="N77" s="941"/>
      <c r="O77" s="942"/>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40" t="s">
        <v>172</v>
      </c>
      <c r="G78" s="641"/>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40" t="s">
        <v>173</v>
      </c>
      <c r="G79" s="641"/>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992"/>
      <c r="C80" s="992"/>
      <c r="D80" s="992"/>
      <c r="E80" s="295"/>
      <c r="F80" s="640" t="s">
        <v>174</v>
      </c>
      <c r="G80" s="641"/>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40" t="s">
        <v>175</v>
      </c>
      <c r="G81" s="641"/>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53"/>
      <c r="C87" s="753"/>
      <c r="D87" s="108"/>
      <c r="E87" s="108"/>
      <c r="F87" s="159"/>
      <c r="G87" s="159"/>
      <c r="H87" s="161"/>
      <c r="I87" s="161"/>
      <c r="J87" s="161"/>
      <c r="K87" s="161"/>
      <c r="L87" s="161"/>
      <c r="M87" s="161"/>
      <c r="N87" s="161"/>
      <c r="O87" s="161"/>
      <c r="Q87" s="3"/>
      <c r="R87" s="3"/>
    </row>
    <row r="88" spans="1:21" ht="15" customHeight="1" x14ac:dyDescent="0.25">
      <c r="B88" s="753"/>
      <c r="C88" s="753"/>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52" customWidth="1"/>
    <col min="2" max="2" width="36.4257812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23" customHeight="1" thickBot="1" x14ac:dyDescent="0.3">
      <c r="A1" s="1025" t="s">
        <v>891</v>
      </c>
      <c r="B1" s="1026"/>
      <c r="C1" s="1026"/>
      <c r="D1" s="1027"/>
      <c r="E1" s="505"/>
    </row>
    <row r="2" spans="1:16" ht="15" customHeight="1" thickBot="1" x14ac:dyDescent="0.3">
      <c r="A2" s="1035" t="s">
        <v>772</v>
      </c>
      <c r="B2" s="1036"/>
      <c r="C2" s="1036"/>
      <c r="D2" s="1037"/>
      <c r="F2" s="1021" t="s">
        <v>750</v>
      </c>
      <c r="G2" s="1022"/>
      <c r="H2" s="1013" t="s">
        <v>743</v>
      </c>
      <c r="I2" s="1014"/>
      <c r="K2" s="466"/>
      <c r="L2" s="871"/>
      <c r="M2" s="871"/>
      <c r="O2" s="464"/>
      <c r="P2" s="463"/>
    </row>
    <row r="3" spans="1:16" x14ac:dyDescent="0.25">
      <c r="A3" s="486" t="s">
        <v>838</v>
      </c>
      <c r="B3" s="486" t="s">
        <v>839</v>
      </c>
      <c r="C3" s="486" t="s">
        <v>840</v>
      </c>
      <c r="D3" s="486" t="s">
        <v>841</v>
      </c>
      <c r="F3" s="1023"/>
      <c r="G3" s="1024"/>
      <c r="H3" s="1017" t="s">
        <v>748</v>
      </c>
      <c r="I3" s="1018"/>
      <c r="K3" s="466"/>
      <c r="L3" s="872"/>
      <c r="M3" s="872"/>
      <c r="O3" s="464"/>
      <c r="P3" s="463"/>
    </row>
    <row r="4" spans="1:16" ht="15.75" thickBot="1" x14ac:dyDescent="0.3">
      <c r="A4" s="486" t="s">
        <v>842</v>
      </c>
      <c r="B4" s="486" t="s">
        <v>843</v>
      </c>
      <c r="C4" s="486" t="s">
        <v>844</v>
      </c>
      <c r="D4" s="486" t="s">
        <v>845</v>
      </c>
      <c r="F4" s="1023"/>
      <c r="G4" s="1024"/>
      <c r="H4" s="1019"/>
      <c r="I4" s="1020"/>
      <c r="K4" s="466"/>
      <c r="L4" s="872"/>
      <c r="M4" s="872"/>
      <c r="O4" s="464"/>
      <c r="P4" s="463"/>
    </row>
    <row r="5" spans="1:16" ht="15.75" thickBot="1" x14ac:dyDescent="0.3">
      <c r="A5" s="486" t="s">
        <v>846</v>
      </c>
      <c r="B5" s="486" t="s">
        <v>847</v>
      </c>
      <c r="C5" s="486" t="s">
        <v>848</v>
      </c>
      <c r="D5" s="486" t="s">
        <v>849</v>
      </c>
      <c r="F5" s="1001" t="s">
        <v>751</v>
      </c>
      <c r="G5" s="1005"/>
      <c r="H5" s="1013" t="s">
        <v>744</v>
      </c>
      <c r="I5" s="1014"/>
      <c r="K5" s="466"/>
      <c r="L5" s="871"/>
      <c r="M5" s="871"/>
    </row>
    <row r="6" spans="1:16" ht="15" customHeight="1" x14ac:dyDescent="0.25">
      <c r="A6" s="486" t="s">
        <v>850</v>
      </c>
      <c r="B6" s="486" t="s">
        <v>851</v>
      </c>
      <c r="C6" s="486" t="s">
        <v>852</v>
      </c>
      <c r="D6" s="486" t="s">
        <v>853</v>
      </c>
      <c r="F6" s="1006"/>
      <c r="G6" s="1005"/>
      <c r="H6" s="1017" t="s">
        <v>746</v>
      </c>
      <c r="I6" s="1018"/>
      <c r="K6" s="467"/>
      <c r="L6" s="872"/>
      <c r="M6" s="872"/>
      <c r="O6" s="463"/>
    </row>
    <row r="7" spans="1:16" x14ac:dyDescent="0.25">
      <c r="A7" s="486" t="s">
        <v>854</v>
      </c>
      <c r="B7" s="486" t="s">
        <v>855</v>
      </c>
      <c r="C7" s="486" t="s">
        <v>837</v>
      </c>
      <c r="D7" s="486" t="s">
        <v>856</v>
      </c>
      <c r="F7" s="1001" t="s">
        <v>752</v>
      </c>
      <c r="G7" s="1005"/>
      <c r="H7" s="1001"/>
      <c r="I7" s="1002"/>
      <c r="K7" s="467"/>
      <c r="L7" s="872"/>
      <c r="M7" s="872"/>
      <c r="O7" s="463"/>
    </row>
    <row r="8" spans="1:16" ht="15.75" thickBot="1" x14ac:dyDescent="0.3">
      <c r="A8" s="486" t="s">
        <v>857</v>
      </c>
      <c r="B8" s="486" t="s">
        <v>858</v>
      </c>
      <c r="C8" s="486" t="s">
        <v>859</v>
      </c>
      <c r="D8" s="486" t="s">
        <v>860</v>
      </c>
      <c r="F8" s="1006"/>
      <c r="G8" s="1005"/>
      <c r="H8" s="1019"/>
      <c r="I8" s="1020"/>
      <c r="L8" s="872"/>
      <c r="M8" s="872"/>
      <c r="O8" s="463"/>
    </row>
    <row r="9" spans="1:16" ht="15" customHeight="1" thickBot="1" x14ac:dyDescent="0.3">
      <c r="A9" s="486" t="s">
        <v>861</v>
      </c>
      <c r="B9" s="486" t="s">
        <v>862</v>
      </c>
      <c r="C9" s="486" t="s">
        <v>863</v>
      </c>
      <c r="D9" s="486" t="s">
        <v>864</v>
      </c>
      <c r="F9" s="1001" t="s">
        <v>753</v>
      </c>
      <c r="G9" s="1002"/>
      <c r="H9" s="1013" t="s">
        <v>745</v>
      </c>
      <c r="I9" s="1014"/>
      <c r="K9" s="467"/>
      <c r="L9" s="871"/>
      <c r="M9" s="871"/>
    </row>
    <row r="10" spans="1:16" ht="15.75" thickBot="1" x14ac:dyDescent="0.3">
      <c r="A10" s="486" t="s">
        <v>865</v>
      </c>
      <c r="B10" s="486" t="s">
        <v>866</v>
      </c>
      <c r="C10" s="486" t="s">
        <v>867</v>
      </c>
      <c r="D10" s="486" t="s">
        <v>868</v>
      </c>
      <c r="F10" s="1001"/>
      <c r="G10" s="1002"/>
      <c r="H10" s="1015" t="s">
        <v>747</v>
      </c>
      <c r="I10" s="1016"/>
      <c r="K10" s="467"/>
      <c r="L10" s="873"/>
      <c r="M10" s="873"/>
    </row>
    <row r="11" spans="1:16" x14ac:dyDescent="0.25">
      <c r="A11" s="486" t="s">
        <v>869</v>
      </c>
      <c r="B11" s="486" t="s">
        <v>870</v>
      </c>
      <c r="C11" s="486" t="s">
        <v>871</v>
      </c>
      <c r="D11" s="501"/>
      <c r="F11" s="1001" t="s">
        <v>754</v>
      </c>
      <c r="G11" s="1005"/>
      <c r="I11" s="465"/>
    </row>
    <row r="12" spans="1:16" ht="15" customHeight="1" x14ac:dyDescent="0.25">
      <c r="A12" s="486" t="s">
        <v>872</v>
      </c>
      <c r="B12" s="486" t="s">
        <v>873</v>
      </c>
      <c r="C12" s="486" t="s">
        <v>874</v>
      </c>
      <c r="D12" s="501"/>
      <c r="F12" s="1006"/>
      <c r="G12" s="1005"/>
      <c r="H12" s="467"/>
      <c r="I12" s="467"/>
      <c r="J12" s="467"/>
      <c r="K12" s="467"/>
    </row>
    <row r="13" spans="1:16" ht="15.75" thickBot="1" x14ac:dyDescent="0.3">
      <c r="A13" s="487"/>
      <c r="B13" s="487"/>
      <c r="C13" s="487"/>
      <c r="D13" s="487"/>
      <c r="F13" s="1011"/>
      <c r="G13" s="1012"/>
      <c r="H13" s="467"/>
      <c r="I13" s="467"/>
      <c r="K13" s="467"/>
    </row>
    <row r="14" spans="1:16" ht="15.75" customHeight="1" thickBot="1" x14ac:dyDescent="0.3">
      <c r="A14" s="1028" t="s">
        <v>773</v>
      </c>
      <c r="B14" s="1029"/>
      <c r="C14" s="1029"/>
      <c r="D14" s="1030"/>
    </row>
    <row r="15" spans="1:16" ht="15.75" customHeight="1" thickBot="1" x14ac:dyDescent="0.3">
      <c r="A15" s="1031" t="s">
        <v>890</v>
      </c>
      <c r="B15" s="1032"/>
      <c r="C15" s="486" t="s">
        <v>875</v>
      </c>
      <c r="D15" s="486" t="s">
        <v>876</v>
      </c>
      <c r="F15" s="1007" t="s">
        <v>749</v>
      </c>
      <c r="G15" s="1008"/>
      <c r="H15" s="504"/>
      <c r="I15" s="504"/>
      <c r="J15" s="465"/>
      <c r="K15" s="465"/>
    </row>
    <row r="16" spans="1:16" ht="48.75" customHeight="1" x14ac:dyDescent="0.25">
      <c r="A16" s="1033"/>
      <c r="B16" s="1034"/>
      <c r="C16" s="486" t="s">
        <v>877</v>
      </c>
      <c r="D16" s="486" t="s">
        <v>878</v>
      </c>
      <c r="F16" s="1009" t="s">
        <v>755</v>
      </c>
      <c r="G16" s="1010"/>
      <c r="H16" s="504"/>
      <c r="I16" s="504"/>
      <c r="J16" s="467"/>
    </row>
    <row r="17" spans="1:16" ht="15" customHeight="1" x14ac:dyDescent="0.25">
      <c r="A17" s="487"/>
      <c r="B17" s="487"/>
      <c r="C17" s="487"/>
      <c r="D17" s="487"/>
      <c r="F17" s="1006"/>
      <c r="G17" s="1005"/>
      <c r="H17" s="504"/>
      <c r="I17" s="504"/>
      <c r="J17" s="467"/>
      <c r="K17" s="467"/>
      <c r="L17" s="467"/>
      <c r="M17" s="467"/>
      <c r="P17" s="463"/>
    </row>
    <row r="18" spans="1:16" ht="15" customHeight="1" x14ac:dyDescent="0.25">
      <c r="A18" s="1028" t="s">
        <v>774</v>
      </c>
      <c r="B18" s="1029"/>
      <c r="C18" s="1029"/>
      <c r="D18" s="1030"/>
      <c r="F18" s="1006"/>
      <c r="G18" s="1005"/>
      <c r="H18" s="504"/>
      <c r="I18" s="504"/>
      <c r="J18" s="467"/>
      <c r="K18" s="467"/>
      <c r="L18" s="467"/>
      <c r="M18" s="467"/>
      <c r="P18" s="463"/>
    </row>
    <row r="19" spans="1:16" x14ac:dyDescent="0.25">
      <c r="A19" s="488" t="s">
        <v>63</v>
      </c>
      <c r="B19" s="489" t="s">
        <v>879</v>
      </c>
      <c r="C19" s="490" t="s">
        <v>880</v>
      </c>
      <c r="D19" s="502" t="s">
        <v>775</v>
      </c>
      <c r="F19" s="1006"/>
      <c r="G19" s="1005"/>
      <c r="H19" s="504"/>
      <c r="I19" s="504"/>
      <c r="J19" s="467"/>
      <c r="K19" s="467"/>
      <c r="L19" s="467"/>
      <c r="M19" s="467"/>
      <c r="P19" s="463"/>
    </row>
    <row r="20" spans="1:16" ht="75" x14ac:dyDescent="0.25">
      <c r="A20" s="486" t="s">
        <v>825</v>
      </c>
      <c r="B20" s="503" t="s">
        <v>826</v>
      </c>
      <c r="C20" s="486" t="s">
        <v>827</v>
      </c>
      <c r="D20" s="486" t="s">
        <v>828</v>
      </c>
      <c r="F20" s="1006"/>
      <c r="G20" s="1005"/>
      <c r="H20" s="504"/>
      <c r="I20" s="504"/>
      <c r="J20" s="467"/>
      <c r="K20" s="467"/>
      <c r="L20" s="467"/>
      <c r="M20" s="467"/>
      <c r="P20" s="463"/>
    </row>
    <row r="21" spans="1:16" ht="75" x14ac:dyDescent="0.25">
      <c r="A21" s="486" t="s">
        <v>881</v>
      </c>
      <c r="B21" s="486" t="s">
        <v>829</v>
      </c>
      <c r="C21" s="503" t="s">
        <v>687</v>
      </c>
      <c r="D21" s="486" t="s">
        <v>686</v>
      </c>
      <c r="F21" s="1001" t="s">
        <v>756</v>
      </c>
      <c r="G21" s="1005"/>
      <c r="H21" s="504"/>
      <c r="I21" s="504"/>
      <c r="J21" s="467"/>
      <c r="K21" s="467"/>
      <c r="L21" s="467"/>
      <c r="M21" s="467"/>
    </row>
    <row r="22" spans="1:16" x14ac:dyDescent="0.25">
      <c r="A22" s="486" t="s">
        <v>882</v>
      </c>
      <c r="B22" s="486" t="s">
        <v>883</v>
      </c>
      <c r="C22" s="486" t="s">
        <v>833</v>
      </c>
      <c r="D22" s="486" t="s">
        <v>686</v>
      </c>
      <c r="F22" s="1006"/>
      <c r="G22" s="1005"/>
      <c r="H22" s="504"/>
      <c r="I22" s="504"/>
      <c r="P22" s="463"/>
    </row>
    <row r="23" spans="1:16" ht="29.25" customHeight="1" x14ac:dyDescent="0.25">
      <c r="A23" s="486" t="s">
        <v>884</v>
      </c>
      <c r="B23" s="486" t="s">
        <v>830</v>
      </c>
      <c r="C23" s="486" t="s">
        <v>827</v>
      </c>
      <c r="D23" s="486" t="s">
        <v>680</v>
      </c>
      <c r="F23" s="1006"/>
      <c r="G23" s="1005"/>
      <c r="H23" s="504"/>
      <c r="I23" s="504"/>
      <c r="J23" s="467"/>
      <c r="K23" s="467"/>
      <c r="L23" s="467"/>
      <c r="M23" s="467"/>
      <c r="P23" s="463"/>
    </row>
    <row r="24" spans="1:16" ht="31.5" customHeight="1" x14ac:dyDescent="0.25">
      <c r="A24" s="486" t="s">
        <v>885</v>
      </c>
      <c r="B24" s="486" t="s">
        <v>831</v>
      </c>
      <c r="C24" s="486" t="s">
        <v>834</v>
      </c>
      <c r="D24" s="486" t="s">
        <v>835</v>
      </c>
      <c r="F24" s="1006"/>
      <c r="G24" s="1005"/>
      <c r="H24" s="504"/>
      <c r="I24" s="504"/>
      <c r="J24" s="467"/>
      <c r="K24" s="467"/>
      <c r="L24" s="467"/>
      <c r="M24" s="467"/>
      <c r="P24" s="463"/>
    </row>
    <row r="25" spans="1:16" ht="45" x14ac:dyDescent="0.25">
      <c r="A25" s="486" t="s">
        <v>886</v>
      </c>
      <c r="B25" s="503" t="s">
        <v>832</v>
      </c>
      <c r="C25" s="486" t="s">
        <v>827</v>
      </c>
      <c r="D25" s="486" t="s">
        <v>836</v>
      </c>
      <c r="F25" s="1006"/>
      <c r="G25" s="1005"/>
      <c r="H25" s="504"/>
      <c r="I25" s="504"/>
      <c r="J25" s="467"/>
      <c r="K25" s="467"/>
      <c r="L25" s="467"/>
      <c r="M25" s="467"/>
      <c r="P25" s="463"/>
    </row>
    <row r="26" spans="1:16" x14ac:dyDescent="0.25">
      <c r="A26" s="486" t="s">
        <v>887</v>
      </c>
      <c r="B26" s="486" t="s">
        <v>888</v>
      </c>
      <c r="C26" s="486" t="s">
        <v>889</v>
      </c>
      <c r="D26" s="486" t="s">
        <v>686</v>
      </c>
      <c r="F26" s="1001" t="s">
        <v>757</v>
      </c>
      <c r="G26" s="1002"/>
      <c r="H26" s="467"/>
      <c r="I26" s="467"/>
      <c r="J26" s="467"/>
      <c r="K26" s="467"/>
      <c r="L26" s="467"/>
      <c r="M26" s="467"/>
      <c r="P26" s="463"/>
    </row>
    <row r="27" spans="1:16" x14ac:dyDescent="0.25">
      <c r="A27"/>
      <c r="B27"/>
      <c r="C27"/>
      <c r="D27"/>
      <c r="F27" s="1001"/>
      <c r="G27" s="1002"/>
      <c r="H27" s="467"/>
      <c r="I27" s="467"/>
      <c r="J27" s="467"/>
      <c r="K27" s="467"/>
      <c r="L27" s="467"/>
      <c r="M27" s="467"/>
    </row>
    <row r="28" spans="1:16" ht="53.25" customHeight="1" x14ac:dyDescent="0.25">
      <c r="A28"/>
      <c r="B28"/>
      <c r="C28"/>
      <c r="D28"/>
      <c r="F28" s="1001"/>
      <c r="G28" s="1002"/>
    </row>
    <row r="29" spans="1:16" ht="97.5" customHeight="1" thickBot="1" x14ac:dyDescent="0.3">
      <c r="A29"/>
      <c r="B29"/>
      <c r="C29"/>
      <c r="D29"/>
      <c r="F29" s="1003" t="s">
        <v>758</v>
      </c>
      <c r="G29" s="1004"/>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2026-09-01T13:36:49Z</cp:lastPrinted>
  <dcterms:created xsi:type="dcterms:W3CDTF">2025-07-31T15:53:00Z</dcterms:created>
  <dcterms:modified xsi:type="dcterms:W3CDTF">2026-09-04T13:45:07Z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