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wdp" ContentType="image/vnd.ms-photo"/>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codeName="{26A90621-87C4-6C01-FD6A-EE6E7C140903}"/>
  <workbookPr codeName="ThisWorkbook" defaultThemeVersion="202300"/>
  <mc:AlternateContent xmlns:mc="http://schemas.openxmlformats.org/markup-compatibility/2006">
    <mc:Choice Requires="x15">
      <x15ac:absPath xmlns:x15ac="http://schemas.microsoft.com/office/spreadsheetml/2010/11/ac" url="S:\Ratesheet Archive\NanQ - NonQm\Unreleased Ratesheets\"/>
    </mc:Choice>
  </mc:AlternateContent>
  <xr:revisionPtr revIDLastSave="0" documentId="13_ncr:1_{38F47766-E088-4A28-85CF-4C71F4F17D94}" xr6:coauthVersionLast="47" xr6:coauthVersionMax="47" xr10:uidLastSave="{00000000-0000-0000-0000-000000000000}"/>
  <workbookProtection workbookAlgorithmName="SHA-512" workbookHashValue="vthE4Z6Pl3YQZkVhulgSiKSFRf0dBLUU+vFA2aSXInbL1gkjDhxSAvaAjPHkY1ST8+ipvzmTCAlQnepjcvbv6A==" workbookSaltValue="WHHY1AxG66K7e9wo5xMmtQ==" workbookSpinCount="100000" lockStructure="1"/>
  <bookViews>
    <workbookView xWindow="120" yWindow="390" windowWidth="19515" windowHeight="16605" tabRatio="794" firstSheet="1" activeTab="1" xr2:uid="{7D47AC62-438C-4554-B862-E0F3D64609C1}"/>
  </bookViews>
  <sheets>
    <sheet name="Errors" sheetId="22" state="hidden" r:id="rId1"/>
    <sheet name="NonQM" sheetId="1" r:id="rId2"/>
    <sheet name="DSCR" sheetId="2" r:id="rId3"/>
    <sheet name="CoreFlex" sheetId="39" r:id="rId4"/>
    <sheet name="Feed(WS)" sheetId="4" state="hidden" r:id="rId5"/>
    <sheet name="Prepay Matrix (OLD)" sheetId="32" state="hidden" r:id="rId6"/>
    <sheet name="Feed(DSCR)" sheetId="21" state="hidden" r:id="rId7"/>
    <sheet name="Feed(CoreFlex)" sheetId="38" state="hidden" r:id="rId8"/>
    <sheet name="NonQM (BC)" sheetId="8" state="hidden" r:id="rId9"/>
    <sheet name="DSCR (BC)" sheetId="15" state="hidden" r:id="rId10"/>
    <sheet name="Prepay Matrix" sheetId="33" r:id="rId11"/>
  </sheets>
  <functionGroups builtInGroupCount="19"/>
  <definedNames>
    <definedName name="_____xlfn_DAYS">NA()</definedName>
    <definedName name="____xlfn_DAYS">NA()</definedName>
    <definedName name="___xlfn_DAYS">NA()</definedName>
    <definedName name="__xlfn_DAYS">NA()</definedName>
    <definedName name="_xlnm._FilterDatabase" localSheetId="7" hidden="1">'Feed(CoreFlex)'!$T$16:$T$24</definedName>
    <definedName name="_xlnm._FilterDatabase" localSheetId="6" hidden="1">'Feed(DSCR)'!$AB$99:$AE$125</definedName>
    <definedName name="_xlnm._FilterDatabase" localSheetId="4" hidden="1">'Feed(WS)'!$BG$1:$BG$16</definedName>
    <definedName name="_xleta.AND" hidden="1" xlm="1">#NAME?</definedName>
    <definedName name="_xleta.CHOOSE" hidden="1" xlm="1">#NAME?</definedName>
    <definedName name="_xleta.IF" hidden="1" xlm="1">#NAME?</definedName>
    <definedName name="_xleta.MATCH" hidden="1" xlm="1">#NAME?</definedName>
    <definedName name="_xleta.NOT" hidden="1" xlm="1">#NAME?</definedName>
    <definedName name="_xleta.PRICE" hidden="1" xlm="1">#NAME?</definedName>
    <definedName name="_xleta.RATE" hidden="1" xlm="1">#NAME?</definedName>
    <definedName name="_xleta.T" hidden="1" xlm="1">#NAME?</definedName>
    <definedName name="AAA_DOCTOPS" hidden="1">"AAA_SET"</definedName>
    <definedName name="AAA_duser" hidden="1">"OFF"</definedName>
    <definedName name="AAB_Addin5" hidden="1">"AAB_Description for addin 5,Description for addin 5,Description for addin 5,Description for addin 5,Description for addin 5,Description for addin 5"</definedName>
    <definedName name="AnnalyDSCR.25M">#REF!</definedName>
    <definedName name="AnnalyDSCR0.75">#REF!</definedName>
    <definedName name="AnnalyDSCR1">#REF!</definedName>
    <definedName name="AnnalyDSCR1.25">#REF!</definedName>
    <definedName name="AnnalyDSCR2M">#REF!</definedName>
    <definedName name="AnnalyDSCRCashout">#REF!</definedName>
    <definedName name="AnnalyDSCRCondo">#REF!</definedName>
    <definedName name="AnnalyDSCRFinalPrice">#REF!</definedName>
    <definedName name="AnnalyDSCRFinalRates">#REF!</definedName>
    <definedName name="AnnalyDSCRIO">#REF!</definedName>
    <definedName name="AnnalyDSCRMultiUnit">#REF!</definedName>
    <definedName name="AnnalyDSCRPurchase">#REF!</definedName>
    <definedName name="AnnalyNearPrime.25M">#REF!</definedName>
    <definedName name="AnnalyNearPrime12MBank">#REF!</definedName>
    <definedName name="AnnalyNearPrime2M">#REF!</definedName>
    <definedName name="AnnalyNearPrime2ndHome">#REF!</definedName>
    <definedName name="AnnalyNearPrimeCashout">#REF!</definedName>
    <definedName name="AnnalyNearPrimeCondo">#REF!</definedName>
    <definedName name="AnnalyNearPrimeDTI43">#REF!</definedName>
    <definedName name="AnnalyNearPrimeFinalPrice">#REF!</definedName>
    <definedName name="AnnalyNearPrimeFinalRates">#REF!</definedName>
    <definedName name="AnnalyNearPrimeInvestor">#REF!</definedName>
    <definedName name="AnnalyNearPrimeIO">#REF!</definedName>
    <definedName name="AnnalyNearPrimeMultiUnit">#REF!</definedName>
    <definedName name="AnnalyNearPrimePurchase">#REF!</definedName>
    <definedName name="ApolloDSCR.15M">#REF!</definedName>
    <definedName name="ApolloDSCR0">#REF!</definedName>
    <definedName name="ApolloDSCR1">#REF!</definedName>
    <definedName name="ApolloDSCR1.5M">#REF!</definedName>
    <definedName name="ApolloDSCR1M">#REF!</definedName>
    <definedName name="ApolloDSCR2">#REF!</definedName>
    <definedName name="ApolloDSCR2.5M">#REF!</definedName>
    <definedName name="ApolloDSCR2M">#REF!</definedName>
    <definedName name="ApolloDSCR3">#REF!</definedName>
    <definedName name="ApolloDSCR3M">#REF!</definedName>
    <definedName name="ApolloDSCR4">#REF!</definedName>
    <definedName name="ApolloDSCR5">#REF!</definedName>
    <definedName name="ApolloDSCRCondo">#REF!</definedName>
    <definedName name="ApolloDSCRFinalRates">#REF!</definedName>
    <definedName name="ApolloDSCRIO">#REF!</definedName>
    <definedName name="ApolloDSCRMultiUnit">#REF!</definedName>
    <definedName name="ApolloDSCRNWCondo">#REF!</definedName>
    <definedName name="ApolloNearPrime.25M">#REF!</definedName>
    <definedName name="ApolloNearPrime12MBank">#REF!</definedName>
    <definedName name="ApolloNearPrime2.5M">#REF!</definedName>
    <definedName name="ApolloNearPrime2M">#REF!</definedName>
    <definedName name="ApolloNearPrime2ndHome">#REF!</definedName>
    <definedName name="ApolloNearPrime3M">#REF!</definedName>
    <definedName name="ApolloNearPrimeCashout">#REF!</definedName>
    <definedName name="ApolloNearPrimeCondo">#REF!</definedName>
    <definedName name="ApolloNearPrimeDTI43">#REF!</definedName>
    <definedName name="ApolloNearPrimeDTI50">#REF!</definedName>
    <definedName name="ApolloNearPrimeFinalRates">#REF!</definedName>
    <definedName name="ApolloNearPrimeInvestor">#REF!</definedName>
    <definedName name="ApolloNearPrimeIO">#REF!</definedName>
    <definedName name="ApolloNearPrimeMultiUnit">#REF!</definedName>
    <definedName name="ApolloNearPrimeNWCondo">#REF!</definedName>
    <definedName name="ApolloNonPrime.25M">#REF!</definedName>
    <definedName name="ApolloNonPrime1.5M">#REF!</definedName>
    <definedName name="ApolloNonPrime12MBank">#REF!</definedName>
    <definedName name="ApolloNonPrime2.5M">#REF!</definedName>
    <definedName name="ApolloNonPrime2M">#REF!</definedName>
    <definedName name="ApolloNonPrime2ndHome">#REF!</definedName>
    <definedName name="ApolloNonPrimeCashout">#REF!</definedName>
    <definedName name="ApolloNonPrimeCondo">#REF!</definedName>
    <definedName name="ApolloNonPrimeDTI43">#REF!</definedName>
    <definedName name="ApolloNonPrimeFinalRates">#REF!</definedName>
    <definedName name="ApolloNonPrimeInvestor">#REF!</definedName>
    <definedName name="ApolloNonPrimeIO">#REF!</definedName>
    <definedName name="ApolloNonPrimeMultiUnit">#REF!</definedName>
    <definedName name="ApolloNonPrimeNWCondo">#REF!</definedName>
    <definedName name="bb_Q0FCMjY4M0FEQTU4NDYxM0" hidden="1">#REF!</definedName>
    <definedName name="BestRateFICO">#REF!</definedName>
    <definedName name="BestRateLTV">#REF!</definedName>
    <definedName name="BestRateTable">#REF!</definedName>
    <definedName name="Calc_InvestorRSBasePriceAdj_CORRND_DSCR">#REF!</definedName>
    <definedName name="Calc_InvestorRSBasePriceAdj_CORRND_Exp">#REF!</definedName>
    <definedName name="Calc_InvestorRSBasePriceAdj_CORRND_ExpInv">#REF!</definedName>
    <definedName name="Calc_InvestorRSBasePriceAdj_CORRND_ExpNR">#REF!</definedName>
    <definedName name="Calc_InvestorRSBasePriceAdj_CORRND_JM">#REF!</definedName>
    <definedName name="Calc_InvestorRSBasePriceAdj_CORRPL_DSCR">#REF!</definedName>
    <definedName name="Calc_InvestorRSBasePriceAdj_CORRPL_Exp">#REF!</definedName>
    <definedName name="Calc_InvestorRSBasePriceAdj_CORRPL_ExpInv">#REF!</definedName>
    <definedName name="Calc_InvestorRSBasePriceAdj_CORRPL_ExpNR">#REF!</definedName>
    <definedName name="Calc_InvestorRSBasePriceAdj_CORRPL_JM">#REF!</definedName>
    <definedName name="Calc_InvestorRSBasePriceAdj_RETL_DSCR">#REF!</definedName>
    <definedName name="Calc_InvestorRSBasePriceAdj_RETL_Exp">#REF!</definedName>
    <definedName name="Calc_InvestorRSBasePriceAdj_RETL_ExpInv">#REF!</definedName>
    <definedName name="Calc_InvestorRSBasePriceAdj_RETL_ExpNR">#REF!</definedName>
    <definedName name="Calc_InvestorRSBasePriceAdj_RETL_JM">#REF!</definedName>
    <definedName name="Calc_InvestorRSBasePriceAdj_WHOL_DSCR">#REF!</definedName>
    <definedName name="Calc_InvestorRSBasePriceAdj_WHOL_Exp">#REF!</definedName>
    <definedName name="Calc_InvestorRSBasePriceAdj_WHOL_ExpInv">#REF!</definedName>
    <definedName name="Calc_InvestorRSBasePriceAdj_WHOL_ExpNR">#REF!</definedName>
    <definedName name="Calc_InvestorRSBasePriceAdj_WHOL_JM">#REF!</definedName>
    <definedName name="Consumer_DTI_Table">#REF!</definedName>
    <definedName name="Consumer_FICO_LTV">#REF!</definedName>
    <definedName name="Consumer_History_Table">#REF!</definedName>
    <definedName name="Consumer_LoanAmt_Table">#REF!</definedName>
    <definedName name="Consumer_PropertyType">#REF!</definedName>
    <definedName name="Consumer_Purpose_Table">#REF!</definedName>
    <definedName name="Consumer_SE_Table">#REF!</definedName>
    <definedName name="CoreX_Citizen_Table">#REF!</definedName>
    <definedName name="CoreX_DTI">#REF!</definedName>
    <definedName name="CoreX_FICO_LTV">#REF!</definedName>
    <definedName name="CoreX_History">#REF!</definedName>
    <definedName name="CoreX_IncomeDoc">#REF!</definedName>
    <definedName name="CoreX_IO">#REF!</definedName>
    <definedName name="CoreX_LoanAmount">#REF!</definedName>
    <definedName name="CoreX_Occupancy">#REF!</definedName>
    <definedName name="CoreX_PropType">#REF!</definedName>
    <definedName name="CoreX_Purpose">#REF!</definedName>
    <definedName name="Curr.ID">#REF!</definedName>
    <definedName name="DHDSCR.15M">#REF!</definedName>
    <definedName name="DHDSCR1">#REF!</definedName>
    <definedName name="DHDSCR1.25">#REF!</definedName>
    <definedName name="DHDSCR1.5M">#REF!</definedName>
    <definedName name="DHDSCR1M">#REF!</definedName>
    <definedName name="DHDSCRCashout">#REF!</definedName>
    <definedName name="DHDSCRCondo">#REF!</definedName>
    <definedName name="DHDSCRFinalRates">#REF!</definedName>
    <definedName name="DHDSCRIO">#REF!</definedName>
    <definedName name="DHDSCRMultiUnit">#REF!</definedName>
    <definedName name="DHDSCRNWCondo">#REF!</definedName>
    <definedName name="DHNearPrime.25M">#REF!</definedName>
    <definedName name="DHNearPrime1.5M">#REF!</definedName>
    <definedName name="DHNearPrime12MBank">#REF!</definedName>
    <definedName name="DHNearPrime1M">#REF!</definedName>
    <definedName name="DHNearPrime2.5M">#REF!</definedName>
    <definedName name="DHNearPrime2ndHome">#REF!</definedName>
    <definedName name="DHNearPrimeCashout">#REF!</definedName>
    <definedName name="DHNearPrimeCondo">#REF!</definedName>
    <definedName name="DHNearPrimeDTI43">#REF!</definedName>
    <definedName name="DHNearPrimeFinalRates">#REF!</definedName>
    <definedName name="DHNearPrimeInvestor">#REF!</definedName>
    <definedName name="DHNearPrimeIO">#REF!</definedName>
    <definedName name="DHNearPrimeMultiUnit">#REF!</definedName>
    <definedName name="DHNearPrimeNWCondo">#REF!</definedName>
    <definedName name="DHNonPrime.25M">#REF!</definedName>
    <definedName name="DHNonPrime12MBank">#REF!</definedName>
    <definedName name="DHNonPrime1M">#REF!</definedName>
    <definedName name="DHNonPrime2ndHome">#REF!</definedName>
    <definedName name="DHNonPrimeCashout">#REF!</definedName>
    <definedName name="DHNonPrimeCondo">#REF!</definedName>
    <definedName name="DHNonPrimeDTI43">#REF!</definedName>
    <definedName name="DHNonPrimeFinalRates">#REF!</definedName>
    <definedName name="DHNonPrimeInvestor">#REF!</definedName>
    <definedName name="DHNonPrimeIO">#REF!</definedName>
    <definedName name="DHNonPrimeMultiUnit">#REF!</definedName>
    <definedName name="DHNonPrimeNWCondo">#REF!</definedName>
    <definedName name="DS_P01">#REF!</definedName>
    <definedName name="DS_P01_C">#REF!</definedName>
    <definedName name="DS_P01_CP">#REF!</definedName>
    <definedName name="DS_P01_R">#REF!</definedName>
    <definedName name="DS_P01_W">#REF!</definedName>
    <definedName name="DS_P02">#REF!</definedName>
    <definedName name="DS_P02_C">#REF!</definedName>
    <definedName name="DS_P02_CP">#REF!</definedName>
    <definedName name="DS_P02_R">#REF!</definedName>
    <definedName name="DS_P02_W">#REF!</definedName>
    <definedName name="DS_P03">#REF!</definedName>
    <definedName name="DS_P03_C">#REF!</definedName>
    <definedName name="DS_P03_CP">#REF!</definedName>
    <definedName name="DS_P03_R">#REF!</definedName>
    <definedName name="DS_P03_W">#REF!</definedName>
    <definedName name="DS_P04">#REF!</definedName>
    <definedName name="DS_P04_C">#REF!</definedName>
    <definedName name="DS_P04_CP">#REF!</definedName>
    <definedName name="DS_P04_R">#REF!</definedName>
    <definedName name="DS_P04_W">#REF!</definedName>
    <definedName name="DS_P05">#REF!</definedName>
    <definedName name="DS_P05_C">#REF!</definedName>
    <definedName name="DS_P05_CP">#REF!</definedName>
    <definedName name="DS_P05_R">#REF!</definedName>
    <definedName name="DS_P05_W">#REF!</definedName>
    <definedName name="DS_P06">#REF!</definedName>
    <definedName name="DS_P06_C">#REF!</definedName>
    <definedName name="DS_P06_CP">#REF!</definedName>
    <definedName name="DS_P06_R">#REF!</definedName>
    <definedName name="DS_P06_W">#REF!</definedName>
    <definedName name="DS_P07">#REF!</definedName>
    <definedName name="DS_P07_C">#REF!</definedName>
    <definedName name="DS_P07_CP">#REF!</definedName>
    <definedName name="DS_P07_R">#REF!</definedName>
    <definedName name="DS_P07_W">#REF!</definedName>
    <definedName name="DS_P08">#REF!</definedName>
    <definedName name="DS_P08_C">#REF!</definedName>
    <definedName name="DS_P08_CP">#REF!</definedName>
    <definedName name="DS_P08_R">#REF!</definedName>
    <definedName name="DS_P08_W">#REF!</definedName>
    <definedName name="DS_P09">#REF!</definedName>
    <definedName name="DS_P09_C">#REF!</definedName>
    <definedName name="DS_P09_CP">#REF!</definedName>
    <definedName name="DS_P09_R">#REF!</definedName>
    <definedName name="DS_P09_W">#REF!</definedName>
    <definedName name="DS_P10">#REF!</definedName>
    <definedName name="DS_P10_C">#REF!</definedName>
    <definedName name="DS_P10_CP">#REF!</definedName>
    <definedName name="DS_P10_R">#REF!</definedName>
    <definedName name="DS_P10_W">#REF!</definedName>
    <definedName name="DS_P11">#REF!</definedName>
    <definedName name="DS_P11_C">#REF!</definedName>
    <definedName name="DS_P11_CP">#REF!</definedName>
    <definedName name="DS_P11_R">#REF!</definedName>
    <definedName name="DS_P11_W">#REF!</definedName>
    <definedName name="DS_P12">#REF!</definedName>
    <definedName name="DS_P12_C">#REF!</definedName>
    <definedName name="DS_P12_CP">#REF!</definedName>
    <definedName name="DS_P12_R">#REF!</definedName>
    <definedName name="DS_P12_W">#REF!</definedName>
    <definedName name="DS_P13">#REF!</definedName>
    <definedName name="DS_P13_C">#REF!</definedName>
    <definedName name="DS_P13_CP">#REF!</definedName>
    <definedName name="DS_P13_R">#REF!</definedName>
    <definedName name="DS_P13_W">#REF!</definedName>
    <definedName name="DS_P14">#REF!</definedName>
    <definedName name="DS_P14_C">#REF!</definedName>
    <definedName name="DS_P14_CP">#REF!</definedName>
    <definedName name="DS_P14_R">#REF!</definedName>
    <definedName name="DS_P14_W">#REF!</definedName>
    <definedName name="DS_P15">#REF!</definedName>
    <definedName name="DS_P15_C">#REF!</definedName>
    <definedName name="DS_P15_CP">#REF!</definedName>
    <definedName name="DS_P15_R">#REF!</definedName>
    <definedName name="DS_P15_W">#REF!</definedName>
    <definedName name="DS_P16">#REF!</definedName>
    <definedName name="DS_P16_C">#REF!</definedName>
    <definedName name="DS_P16_CP">#REF!</definedName>
    <definedName name="DS_P16_R">#REF!</definedName>
    <definedName name="DS_P16_W">#REF!</definedName>
    <definedName name="DS_P17">#REF!</definedName>
    <definedName name="DS_P17_C">#REF!</definedName>
    <definedName name="DS_P17_CP">#REF!</definedName>
    <definedName name="DS_P17_R">#REF!</definedName>
    <definedName name="DS_P17_W">#REF!</definedName>
    <definedName name="DS_P18">#REF!</definedName>
    <definedName name="DS_P18_C">#REF!</definedName>
    <definedName name="DS_P18_CP">#REF!</definedName>
    <definedName name="DS_P18_R">#REF!</definedName>
    <definedName name="DS_P18_W">#REF!</definedName>
    <definedName name="DS_P19">#REF!</definedName>
    <definedName name="DS_P19_C">#REF!</definedName>
    <definedName name="DS_P19_CP">#REF!</definedName>
    <definedName name="DS_P19_R">#REF!</definedName>
    <definedName name="DS_P19_W">#REF!</definedName>
    <definedName name="DS_P20">#REF!</definedName>
    <definedName name="DS_P20_C">#REF!</definedName>
    <definedName name="DS_P20_CP">#REF!</definedName>
    <definedName name="DS_P20_R">#REF!</definedName>
    <definedName name="DS_P20_W">#REF!</definedName>
    <definedName name="DS_P21">#REF!</definedName>
    <definedName name="DS_P21_C">#REF!</definedName>
    <definedName name="DS_P21_CP">#REF!</definedName>
    <definedName name="DS_P21_R">#REF!</definedName>
    <definedName name="DS_P21_W">#REF!</definedName>
    <definedName name="DS_P22">#REF!</definedName>
    <definedName name="DS_P22_C">#REF!</definedName>
    <definedName name="DS_P22_CP">#REF!</definedName>
    <definedName name="DS_P22_R">#REF!</definedName>
    <definedName name="DS_P22_W">#REF!</definedName>
    <definedName name="DS_P23">#REF!</definedName>
    <definedName name="DS_P23_C">#REF!</definedName>
    <definedName name="DS_P23_CP">#REF!</definedName>
    <definedName name="DS_P23_R">#REF!</definedName>
    <definedName name="DS_P23_W">#REF!</definedName>
    <definedName name="DS_P24">#REF!</definedName>
    <definedName name="DS_P24_C">#REF!</definedName>
    <definedName name="DS_P24_CP">#REF!</definedName>
    <definedName name="DS_P24_R">#REF!</definedName>
    <definedName name="DS_P24_W">#REF!</definedName>
    <definedName name="DS_P25">#REF!</definedName>
    <definedName name="DS_P25_C">#REF!</definedName>
    <definedName name="DS_P25_CP">#REF!</definedName>
    <definedName name="DS_P25_R">#REF!</definedName>
    <definedName name="DS_P25_W">#REF!</definedName>
    <definedName name="DS_P26">#REF!</definedName>
    <definedName name="DS_P26_C">#REF!</definedName>
    <definedName name="DS_P26_CP">#REF!</definedName>
    <definedName name="DS_P26_R">#REF!</definedName>
    <definedName name="DS_P26_W">#REF!</definedName>
    <definedName name="DS_P27">#REF!</definedName>
    <definedName name="DS_P27_C">#REF!</definedName>
    <definedName name="DS_P27_CP">#REF!</definedName>
    <definedName name="DS_P27_R">#REF!</definedName>
    <definedName name="DS_P27_W">#REF!</definedName>
    <definedName name="DS_P28">#REF!</definedName>
    <definedName name="DS_P28_C">#REF!</definedName>
    <definedName name="DS_P28_CP">#REF!</definedName>
    <definedName name="DS_P28_R">#REF!</definedName>
    <definedName name="DS_P28_W">#REF!</definedName>
    <definedName name="DS_P29">#REF!</definedName>
    <definedName name="DS_P29_C">#REF!</definedName>
    <definedName name="DS_P29_CP">#REF!</definedName>
    <definedName name="DS_P29_R">#REF!</definedName>
    <definedName name="DS_P29_W">#REF!</definedName>
    <definedName name="DS_P30">#REF!</definedName>
    <definedName name="DS_P30_C">#REF!</definedName>
    <definedName name="DS_P30_CP">#REF!</definedName>
    <definedName name="DS_P30_R">#REF!</definedName>
    <definedName name="DS_P30_W">#REF!</definedName>
    <definedName name="DS_P31">#REF!</definedName>
    <definedName name="DS_P31_C">#REF!</definedName>
    <definedName name="DS_P31_CP">#REF!</definedName>
    <definedName name="DS_P31_R">#REF!</definedName>
    <definedName name="DS_P31_W">#REF!</definedName>
    <definedName name="DS_P32">#REF!</definedName>
    <definedName name="DS_P32_C">#REF!</definedName>
    <definedName name="DS_P32_CP">#REF!</definedName>
    <definedName name="DS_P32_R">#REF!</definedName>
    <definedName name="DS_P32_W">#REF!</definedName>
    <definedName name="DS_P33">#REF!</definedName>
    <definedName name="DS_P33_C">#REF!</definedName>
    <definedName name="DS_P33_CP">#REF!</definedName>
    <definedName name="DS_P33_R">#REF!</definedName>
    <definedName name="DS_P33_W">#REF!</definedName>
    <definedName name="DS_P34">#REF!</definedName>
    <definedName name="DS_P34_C">#REF!</definedName>
    <definedName name="DS_P34_CP">#REF!</definedName>
    <definedName name="DS_P34_R">#REF!</definedName>
    <definedName name="DS_P34_W">#REF!</definedName>
    <definedName name="DS_P35">#REF!</definedName>
    <definedName name="DS_P35_C">#REF!</definedName>
    <definedName name="DS_P35_CP">#REF!</definedName>
    <definedName name="DS_P35_R">#REF!</definedName>
    <definedName name="DS_P35_W">#REF!</definedName>
    <definedName name="DS_P36">#REF!</definedName>
    <definedName name="DS_P36_C">#REF!</definedName>
    <definedName name="DS_P36_CP">#REF!</definedName>
    <definedName name="DS_P36_R">#REF!</definedName>
    <definedName name="DS_P36_W">#REF!</definedName>
    <definedName name="DS_P37">#REF!</definedName>
    <definedName name="DS_P37_C">#REF!</definedName>
    <definedName name="DS_P37_CP">#REF!</definedName>
    <definedName name="DS_P37_R">#REF!</definedName>
    <definedName name="DS_P37_W">#REF!</definedName>
    <definedName name="DS_P38">#REF!</definedName>
    <definedName name="DS_P38_C">#REF!</definedName>
    <definedName name="DS_P38_CP">#REF!</definedName>
    <definedName name="DS_P38_R">#REF!</definedName>
    <definedName name="DS_P38_W">#REF!</definedName>
    <definedName name="DS_P39">#REF!</definedName>
    <definedName name="DS_P39_C">#REF!</definedName>
    <definedName name="DS_P39_CP">#REF!</definedName>
    <definedName name="DS_P39_R">#REF!</definedName>
    <definedName name="DS_P39_W">#REF!</definedName>
    <definedName name="DS_P40">#REF!</definedName>
    <definedName name="DS_P40_C">#REF!</definedName>
    <definedName name="DS_P40_CP">#REF!</definedName>
    <definedName name="DS_P40_R">#REF!</definedName>
    <definedName name="DS_P40_W">#REF!</definedName>
    <definedName name="DS_P41">#REF!</definedName>
    <definedName name="DS_P41_C">#REF!</definedName>
    <definedName name="DS_P41_CP">#REF!</definedName>
    <definedName name="DS_P41_R">#REF!</definedName>
    <definedName name="DS_P41_W">#REF!</definedName>
    <definedName name="DS_P42">#REF!</definedName>
    <definedName name="DS_P42_C">#REF!</definedName>
    <definedName name="DS_P42_CP">#REF!</definedName>
    <definedName name="DS_P42_R">#REF!</definedName>
    <definedName name="DS_P42_W">#REF!</definedName>
    <definedName name="DS_P43">#REF!</definedName>
    <definedName name="DS_P43_C">#REF!</definedName>
    <definedName name="DS_P43_CP">#REF!</definedName>
    <definedName name="DS_P43_R">#REF!</definedName>
    <definedName name="DS_P43_W">#REF!</definedName>
    <definedName name="DS_P44">#REF!</definedName>
    <definedName name="DS_P44_C">#REF!</definedName>
    <definedName name="DS_P44_CP">#REF!</definedName>
    <definedName name="DS_P44_R">#REF!</definedName>
    <definedName name="DS_P44_W">#REF!</definedName>
    <definedName name="DS_P45">#REF!</definedName>
    <definedName name="DS_P45_C">#REF!</definedName>
    <definedName name="DS_P45_CP">#REF!</definedName>
    <definedName name="DS_P45_R">#REF!</definedName>
    <definedName name="DS_P45_W">#REF!</definedName>
    <definedName name="DS_R01">#REF!</definedName>
    <definedName name="DS_R02">#REF!</definedName>
    <definedName name="DS_R03">#REF!</definedName>
    <definedName name="DS_R04">#REF!</definedName>
    <definedName name="DS_R05">#REF!</definedName>
    <definedName name="DS_R06">#REF!</definedName>
    <definedName name="DS_R07">#REF!</definedName>
    <definedName name="DS_R08">#REF!</definedName>
    <definedName name="DS_R09">#REF!</definedName>
    <definedName name="DS_R10">#REF!</definedName>
    <definedName name="DS_R11">#REF!</definedName>
    <definedName name="DS_R12">#REF!</definedName>
    <definedName name="DS_R13">#REF!</definedName>
    <definedName name="DS_R14">#REF!</definedName>
    <definedName name="DS_R15">#REF!</definedName>
    <definedName name="DS_R16">#REF!</definedName>
    <definedName name="DS_R17">#REF!</definedName>
    <definedName name="DS_R18">#REF!</definedName>
    <definedName name="DS_R19">#REF!</definedName>
    <definedName name="DS_R20">#REF!</definedName>
    <definedName name="DS_R21">#REF!</definedName>
    <definedName name="DS_R22">#REF!</definedName>
    <definedName name="DS_R23">#REF!</definedName>
    <definedName name="DS_R24">#REF!</definedName>
    <definedName name="DS_R25">#REF!</definedName>
    <definedName name="DS_R26">#REF!</definedName>
    <definedName name="DS_R27">#REF!</definedName>
    <definedName name="DS_R28">#REF!</definedName>
    <definedName name="DS_R29">#REF!</definedName>
    <definedName name="DS_R30">#REF!</definedName>
    <definedName name="DS_R31">#REF!</definedName>
    <definedName name="DS_R32">#REF!</definedName>
    <definedName name="DS_R33">#REF!</definedName>
    <definedName name="DS_R34">#REF!</definedName>
    <definedName name="DS_R35">#REF!</definedName>
    <definedName name="DS_R36">#REF!</definedName>
    <definedName name="DS_R37">#REF!</definedName>
    <definedName name="DS_R38">#REF!</definedName>
    <definedName name="DS_R39">#REF!</definedName>
    <definedName name="DS_R40">#REF!</definedName>
    <definedName name="DS_R41">#REF!</definedName>
    <definedName name="DS_R42">#REF!</definedName>
    <definedName name="DS_R43">#REF!</definedName>
    <definedName name="DS_R44">#REF!</definedName>
    <definedName name="DS_R45">#REF!</definedName>
    <definedName name="DSCRTapeBestRate">#REF!</definedName>
    <definedName name="DSCRTapeCoverageRatio">#REF!</definedName>
    <definedName name="DSCRTapeCreditType">#REF!</definedName>
    <definedName name="DSCRTapeDocType">#REF!</definedName>
    <definedName name="DSCRTapeIOType">#REF!</definedName>
    <definedName name="DSCRTapeLRPRate">#REF!</definedName>
    <definedName name="DSCRTapeOccupancyType">#REF!</definedName>
    <definedName name="DSCRTapeOrigLoanBal">#REF!</definedName>
    <definedName name="DSCRTapeProductType">#REF!</definedName>
    <definedName name="DSCRTapePurposeType">#REF!</definedName>
    <definedName name="DTIDSCR.15M">#REF!</definedName>
    <definedName name="DTIDSCR1M">#REF!</definedName>
    <definedName name="EI_P01">#REF!</definedName>
    <definedName name="EI_P01_C">#REF!</definedName>
    <definedName name="EI_P01_CP">#REF!</definedName>
    <definedName name="EI_P01_R">#REF!</definedName>
    <definedName name="EI_P01_W">#REF!</definedName>
    <definedName name="EI_P02">#REF!</definedName>
    <definedName name="EI_P02_C">#REF!</definedName>
    <definedName name="EI_P02_CP">#REF!</definedName>
    <definedName name="EI_P02_R">#REF!</definedName>
    <definedName name="EI_P02_W">#REF!</definedName>
    <definedName name="EI_P03">#REF!</definedName>
    <definedName name="EI_P03_C">#REF!</definedName>
    <definedName name="EI_P03_CP">#REF!</definedName>
    <definedName name="EI_P03_R">#REF!</definedName>
    <definedName name="EI_P03_W">#REF!</definedName>
    <definedName name="EI_P04">#REF!</definedName>
    <definedName name="EI_P04_C">#REF!</definedName>
    <definedName name="EI_P04_CP">#REF!</definedName>
    <definedName name="EI_P04_R">#REF!</definedName>
    <definedName name="EI_P04_W">#REF!</definedName>
    <definedName name="EI_P05">#REF!</definedName>
    <definedName name="EI_P05_C">#REF!</definedName>
    <definedName name="EI_P05_CP">#REF!</definedName>
    <definedName name="EI_P05_R">#REF!</definedName>
    <definedName name="EI_P05_W">#REF!</definedName>
    <definedName name="EI_P06">#REF!</definedName>
    <definedName name="EI_P06_C">#REF!</definedName>
    <definedName name="EI_P06_CP">#REF!</definedName>
    <definedName name="EI_P06_R">#REF!</definedName>
    <definedName name="EI_P06_W">#REF!</definedName>
    <definedName name="EI_P07">#REF!</definedName>
    <definedName name="EI_P07_C">#REF!</definedName>
    <definedName name="EI_P07_CP">#REF!</definedName>
    <definedName name="EI_P07_R">#REF!</definedName>
    <definedName name="EI_P07_W">#REF!</definedName>
    <definedName name="EI_P08">#REF!</definedName>
    <definedName name="EI_P08_C">#REF!</definedName>
    <definedName name="EI_P08_CP">#REF!</definedName>
    <definedName name="EI_P08_R">#REF!</definedName>
    <definedName name="EI_P08_W">#REF!</definedName>
    <definedName name="EI_P09">#REF!</definedName>
    <definedName name="EI_P09_C">#REF!</definedName>
    <definedName name="EI_P09_CP">#REF!</definedName>
    <definedName name="EI_P09_R">#REF!</definedName>
    <definedName name="EI_P09_W">#REF!</definedName>
    <definedName name="EI_P10">#REF!</definedName>
    <definedName name="EI_P10_C">#REF!</definedName>
    <definedName name="EI_P10_CP">#REF!</definedName>
    <definedName name="EI_P10_R">#REF!</definedName>
    <definedName name="EI_P10_W">#REF!</definedName>
    <definedName name="EI_P11">#REF!</definedName>
    <definedName name="EI_P11_C">#REF!</definedName>
    <definedName name="EI_P11_CP">#REF!</definedName>
    <definedName name="EI_P11_R">#REF!</definedName>
    <definedName name="EI_P11_W">#REF!</definedName>
    <definedName name="EI_P12">#REF!</definedName>
    <definedName name="EI_P12_C">#REF!</definedName>
    <definedName name="EI_P12_CP">#REF!</definedName>
    <definedName name="EI_P12_R">#REF!</definedName>
    <definedName name="EI_P12_W">#REF!</definedName>
    <definedName name="EI_P13">#REF!</definedName>
    <definedName name="EI_P13_C">#REF!</definedName>
    <definedName name="EI_P13_CP">#REF!</definedName>
    <definedName name="EI_P13_R">#REF!</definedName>
    <definedName name="EI_P13_W">#REF!</definedName>
    <definedName name="EI_P14">#REF!</definedName>
    <definedName name="EI_P14_C">#REF!</definedName>
    <definedName name="EI_P14_CP">#REF!</definedName>
    <definedName name="EI_P14_R">#REF!</definedName>
    <definedName name="EI_P14_W">#REF!</definedName>
    <definedName name="EI_P15">#REF!</definedName>
    <definedName name="EI_P15_C">#REF!</definedName>
    <definedName name="EI_P15_CP">#REF!</definedName>
    <definedName name="EI_P15_R">#REF!</definedName>
    <definedName name="EI_P15_W">#REF!</definedName>
    <definedName name="EI_P16">#REF!</definedName>
    <definedName name="EI_P16_C">#REF!</definedName>
    <definedName name="EI_P16_CP">#REF!</definedName>
    <definedName name="EI_P16_R">#REF!</definedName>
    <definedName name="EI_P16_W">#REF!</definedName>
    <definedName name="EI_P17">#REF!</definedName>
    <definedName name="EI_P17_C">#REF!</definedName>
    <definedName name="EI_P17_CP">#REF!</definedName>
    <definedName name="EI_P17_R">#REF!</definedName>
    <definedName name="EI_P17_W">#REF!</definedName>
    <definedName name="EI_P18">#REF!</definedName>
    <definedName name="EI_P18_C">#REF!</definedName>
    <definedName name="EI_P18_CP">#REF!</definedName>
    <definedName name="EI_P18_R">#REF!</definedName>
    <definedName name="EI_P18_W">#REF!</definedName>
    <definedName name="EI_P19">#REF!</definedName>
    <definedName name="EI_P19_C">#REF!</definedName>
    <definedName name="EI_P19_CP">#REF!</definedName>
    <definedName name="EI_P19_R">#REF!</definedName>
    <definedName name="EI_P19_W">#REF!</definedName>
    <definedName name="EI_P20">#REF!</definedName>
    <definedName name="EI_P20_C">#REF!</definedName>
    <definedName name="EI_P20_CP">#REF!</definedName>
    <definedName name="EI_P20_R">#REF!</definedName>
    <definedName name="EI_P20_W">#REF!</definedName>
    <definedName name="EI_P21">#REF!</definedName>
    <definedName name="EI_P21_C">#REF!</definedName>
    <definedName name="EI_P21_CP">#REF!</definedName>
    <definedName name="EI_P21_R">#REF!</definedName>
    <definedName name="EI_P21_W">#REF!</definedName>
    <definedName name="EI_P22">#REF!</definedName>
    <definedName name="EI_P22_C">#REF!</definedName>
    <definedName name="EI_P22_CP">#REF!</definedName>
    <definedName name="EI_P22_R">#REF!</definedName>
    <definedName name="EI_P22_W">#REF!</definedName>
    <definedName name="EI_P23">#REF!</definedName>
    <definedName name="EI_P23_C">#REF!</definedName>
    <definedName name="EI_P23_CP">#REF!</definedName>
    <definedName name="EI_P23_R">#REF!</definedName>
    <definedName name="EI_P23_W">#REF!</definedName>
    <definedName name="EI_P24">#REF!</definedName>
    <definedName name="EI_P24_C">#REF!</definedName>
    <definedName name="EI_P24_CP">#REF!</definedName>
    <definedName name="EI_P24_R">#REF!</definedName>
    <definedName name="EI_P24_W">#REF!</definedName>
    <definedName name="EI_P25">#REF!</definedName>
    <definedName name="EI_P25_C">#REF!</definedName>
    <definedName name="EI_P25_CP">#REF!</definedName>
    <definedName name="EI_P25_R">#REF!</definedName>
    <definedName name="EI_P25_W">#REF!</definedName>
    <definedName name="EI_P26">#REF!</definedName>
    <definedName name="EI_P26_C">#REF!</definedName>
    <definedName name="EI_P26_CP">#REF!</definedName>
    <definedName name="EI_P26_R">#REF!</definedName>
    <definedName name="EI_P26_W">#REF!</definedName>
    <definedName name="EI_P27">#REF!</definedName>
    <definedName name="EI_P27_C">#REF!</definedName>
    <definedName name="EI_P27_CP">#REF!</definedName>
    <definedName name="EI_P27_R">#REF!</definedName>
    <definedName name="EI_P27_W">#REF!</definedName>
    <definedName name="EI_P28">#REF!</definedName>
    <definedName name="EI_P28_C">#REF!</definedName>
    <definedName name="EI_P28_CP">#REF!</definedName>
    <definedName name="EI_P28_R">#REF!</definedName>
    <definedName name="EI_P28_W">#REF!</definedName>
    <definedName name="EI_P29">#REF!</definedName>
    <definedName name="EI_P29_C">#REF!</definedName>
    <definedName name="EI_P29_CP">#REF!</definedName>
    <definedName name="EI_P29_R">#REF!</definedName>
    <definedName name="EI_P29_W">#REF!</definedName>
    <definedName name="EI_P30">#REF!</definedName>
    <definedName name="EI_P30_C">#REF!</definedName>
    <definedName name="EI_P30_CP">#REF!</definedName>
    <definedName name="EI_P30_R">#REF!</definedName>
    <definedName name="EI_P30_W">#REF!</definedName>
    <definedName name="EI_P31">#REF!</definedName>
    <definedName name="EI_P31_C">#REF!</definedName>
    <definedName name="EI_P31_CP">#REF!</definedName>
    <definedName name="EI_P31_R">#REF!</definedName>
    <definedName name="EI_P31_W">#REF!</definedName>
    <definedName name="EI_P32">#REF!</definedName>
    <definedName name="EI_P32_C">#REF!</definedName>
    <definedName name="EI_P32_CP">#REF!</definedName>
    <definedName name="EI_P32_R">#REF!</definedName>
    <definedName name="EI_P32_W">#REF!</definedName>
    <definedName name="EI_P33">#REF!</definedName>
    <definedName name="EI_P33_C">#REF!</definedName>
    <definedName name="EI_P33_CP">#REF!</definedName>
    <definedName name="EI_P33_R">#REF!</definedName>
    <definedName name="EI_P33_W">#REF!</definedName>
    <definedName name="EI_P34">#REF!</definedName>
    <definedName name="EI_P34_C">#REF!</definedName>
    <definedName name="EI_P34_CP">#REF!</definedName>
    <definedName name="EI_P34_R">#REF!</definedName>
    <definedName name="EI_P34_W">#REF!</definedName>
    <definedName name="EI_P35">#REF!</definedName>
    <definedName name="EI_P35_C">#REF!</definedName>
    <definedName name="EI_P35_CP">#REF!</definedName>
    <definedName name="EI_P35_R">#REF!</definedName>
    <definedName name="EI_P35_W">#REF!</definedName>
    <definedName name="EI_P36">#REF!</definedName>
    <definedName name="EI_P36_C">#REF!</definedName>
    <definedName name="EI_P36_CP">#REF!</definedName>
    <definedName name="EI_P36_R">#REF!</definedName>
    <definedName name="EI_P36_W">#REF!</definedName>
    <definedName name="EI_P37">#REF!</definedName>
    <definedName name="EI_P37_C">#REF!</definedName>
    <definedName name="EI_P37_CP">#REF!</definedName>
    <definedName name="EI_P37_R">#REF!</definedName>
    <definedName name="EI_P37_W">#REF!</definedName>
    <definedName name="EI_P38">#REF!</definedName>
    <definedName name="EI_P38_C">#REF!</definedName>
    <definedName name="EI_P38_CP">#REF!</definedName>
    <definedName name="EI_P38_R">#REF!</definedName>
    <definedName name="EI_P38_W">#REF!</definedName>
    <definedName name="EI_P39">#REF!</definedName>
    <definedName name="EI_P39_C">#REF!</definedName>
    <definedName name="EI_P39_CP">#REF!</definedName>
    <definedName name="EI_P39_R">#REF!</definedName>
    <definedName name="EI_P39_W">#REF!</definedName>
    <definedName name="EI_P40">#REF!</definedName>
    <definedName name="EI_P40_C">#REF!</definedName>
    <definedName name="EI_P40_CP">#REF!</definedName>
    <definedName name="EI_P40_R">#REF!</definedName>
    <definedName name="EI_P40_W">#REF!</definedName>
    <definedName name="EI_P41">#REF!</definedName>
    <definedName name="EI_P41_C">#REF!</definedName>
    <definedName name="EI_P41_CP">#REF!</definedName>
    <definedName name="EI_P41_R">#REF!</definedName>
    <definedName name="EI_P41_W">#REF!</definedName>
    <definedName name="EI_P42">#REF!</definedName>
    <definedName name="EI_P42_C">#REF!</definedName>
    <definedName name="EI_P42_CP">#REF!</definedName>
    <definedName name="EI_P42_R">#REF!</definedName>
    <definedName name="EI_P42_W">#REF!</definedName>
    <definedName name="EI_P43">#REF!</definedName>
    <definedName name="EI_P43_C">#REF!</definedName>
    <definedName name="EI_P43_CP">#REF!</definedName>
    <definedName name="EI_P43_R">#REF!</definedName>
    <definedName name="EI_P43_W">#REF!</definedName>
    <definedName name="EI_P44">#REF!</definedName>
    <definedName name="EI_P44_C">#REF!</definedName>
    <definedName name="EI_P44_CP">#REF!</definedName>
    <definedName name="EI_P44_R">#REF!</definedName>
    <definedName name="EI_P44_W">#REF!</definedName>
    <definedName name="EI_P45">#REF!</definedName>
    <definedName name="EI_P45_C">#REF!</definedName>
    <definedName name="EI_P45_CP">#REF!</definedName>
    <definedName name="EI_P45_R">#REF!</definedName>
    <definedName name="EI_P45_W">#REF!</definedName>
    <definedName name="EI_R01">#REF!</definedName>
    <definedName name="EI_R02">#REF!</definedName>
    <definedName name="EI_R03">#REF!</definedName>
    <definedName name="EI_R04">#REF!</definedName>
    <definedName name="EI_R05">#REF!</definedName>
    <definedName name="EI_R06">#REF!</definedName>
    <definedName name="EI_R07">#REF!</definedName>
    <definedName name="EI_R08">#REF!</definedName>
    <definedName name="EI_R09">#REF!</definedName>
    <definedName name="EI_R10">#REF!</definedName>
    <definedName name="EI_R11">#REF!</definedName>
    <definedName name="EI_R12">#REF!</definedName>
    <definedName name="EI_R13">#REF!</definedName>
    <definedName name="EI_R14">#REF!</definedName>
    <definedName name="EI_R15">#REF!</definedName>
    <definedName name="EI_R16">#REF!</definedName>
    <definedName name="EI_R17">#REF!</definedName>
    <definedName name="EI_R18">#REF!</definedName>
    <definedName name="EI_R19">#REF!</definedName>
    <definedName name="EI_R20">#REF!</definedName>
    <definedName name="EI_R21">#REF!</definedName>
    <definedName name="EI_R22">#REF!</definedName>
    <definedName name="EI_R23">#REF!</definedName>
    <definedName name="EI_R24">#REF!</definedName>
    <definedName name="EI_R25">#REF!</definedName>
    <definedName name="EI_R26">#REF!</definedName>
    <definedName name="EI_R27">#REF!</definedName>
    <definedName name="EI_R28">#REF!</definedName>
    <definedName name="EI_R29">#REF!</definedName>
    <definedName name="EI_R30">#REF!</definedName>
    <definedName name="EI_R31">#REF!</definedName>
    <definedName name="EI_R32">#REF!</definedName>
    <definedName name="EI_R33">#REF!</definedName>
    <definedName name="EI_R34">#REF!</definedName>
    <definedName name="EI_R35">#REF!</definedName>
    <definedName name="EI_R36">#REF!</definedName>
    <definedName name="EI_R37">#REF!</definedName>
    <definedName name="EI_R38">#REF!</definedName>
    <definedName name="EI_R39">#REF!</definedName>
    <definedName name="EI_R40">#REF!</definedName>
    <definedName name="EI_R41">#REF!</definedName>
    <definedName name="EI_R42">#REF!</definedName>
    <definedName name="EI_R43">#REF!</definedName>
    <definedName name="EI_R44">#REF!</definedName>
    <definedName name="EI_R45">#REF!</definedName>
    <definedName name="email.bc">#REF!</definedName>
    <definedName name="EN_P01">#REF!</definedName>
    <definedName name="EN_P01_C">#REF!</definedName>
    <definedName name="EN_P01_CP">#REF!</definedName>
    <definedName name="EN_P01_R">#REF!</definedName>
    <definedName name="EN_P01_W">#REF!</definedName>
    <definedName name="EN_P02">#REF!</definedName>
    <definedName name="EN_P02_C">#REF!</definedName>
    <definedName name="EN_P02_CP">#REF!</definedName>
    <definedName name="EN_P02_R">#REF!</definedName>
    <definedName name="EN_P02_W">#REF!</definedName>
    <definedName name="EN_P03">#REF!</definedName>
    <definedName name="EN_P03_C">#REF!</definedName>
    <definedName name="EN_P03_CP">#REF!</definedName>
    <definedName name="EN_P03_R">#REF!</definedName>
    <definedName name="EN_P03_W">#REF!</definedName>
    <definedName name="EN_P04">#REF!</definedName>
    <definedName name="EN_P04_C">#REF!</definedName>
    <definedName name="EN_P04_CP">#REF!</definedName>
    <definedName name="EN_P04_R">#REF!</definedName>
    <definedName name="EN_P04_W">#REF!</definedName>
    <definedName name="EN_P05">#REF!</definedName>
    <definedName name="EN_P05_C">#REF!</definedName>
    <definedName name="EN_P05_CP">#REF!</definedName>
    <definedName name="EN_P05_R">#REF!</definedName>
    <definedName name="EN_P05_W">#REF!</definedName>
    <definedName name="EN_P06">#REF!</definedName>
    <definedName name="EN_P06_C">#REF!</definedName>
    <definedName name="EN_P06_CP">#REF!</definedName>
    <definedName name="EN_P06_R">#REF!</definedName>
    <definedName name="EN_P06_W">#REF!</definedName>
    <definedName name="EN_P07">#REF!</definedName>
    <definedName name="EN_P07_C">#REF!</definedName>
    <definedName name="EN_P07_CP">#REF!</definedName>
    <definedName name="EN_P07_R">#REF!</definedName>
    <definedName name="EN_P07_W">#REF!</definedName>
    <definedName name="EN_P08">#REF!</definedName>
    <definedName name="EN_P08_C">#REF!</definedName>
    <definedName name="EN_P08_CP">#REF!</definedName>
    <definedName name="EN_P08_R">#REF!</definedName>
    <definedName name="EN_P08_W">#REF!</definedName>
    <definedName name="EN_P09">#REF!</definedName>
    <definedName name="EN_P09_C">#REF!</definedName>
    <definedName name="EN_P09_CP">#REF!</definedName>
    <definedName name="EN_P09_R">#REF!</definedName>
    <definedName name="EN_P09_W">#REF!</definedName>
    <definedName name="EN_P10">#REF!</definedName>
    <definedName name="EN_P10_C">#REF!</definedName>
    <definedName name="EN_P10_CP">#REF!</definedName>
    <definedName name="EN_P10_R">#REF!</definedName>
    <definedName name="EN_P10_W">#REF!</definedName>
    <definedName name="EN_P11">#REF!</definedName>
    <definedName name="EN_P11_C">#REF!</definedName>
    <definedName name="EN_P11_CP">#REF!</definedName>
    <definedName name="EN_P11_R">#REF!</definedName>
    <definedName name="EN_P11_W">#REF!</definedName>
    <definedName name="EN_P12">#REF!</definedName>
    <definedName name="EN_P12_C">#REF!</definedName>
    <definedName name="EN_P12_CP">#REF!</definedName>
    <definedName name="EN_P12_R">#REF!</definedName>
    <definedName name="EN_P12_W">#REF!</definedName>
    <definedName name="EN_P13">#REF!</definedName>
    <definedName name="EN_P13_C">#REF!</definedName>
    <definedName name="EN_P13_CP">#REF!</definedName>
    <definedName name="EN_P13_R">#REF!</definedName>
    <definedName name="EN_P13_W">#REF!</definedName>
    <definedName name="EN_P14">#REF!</definedName>
    <definedName name="EN_P14_C">#REF!</definedName>
    <definedName name="EN_P14_CP">#REF!</definedName>
    <definedName name="EN_P14_R">#REF!</definedName>
    <definedName name="EN_P14_W">#REF!</definedName>
    <definedName name="EN_P15">#REF!</definedName>
    <definedName name="EN_P15_C">#REF!</definedName>
    <definedName name="EN_P15_CP">#REF!</definedName>
    <definedName name="EN_P15_R">#REF!</definedName>
    <definedName name="EN_P15_W">#REF!</definedName>
    <definedName name="EN_P16">#REF!</definedName>
    <definedName name="EN_P16_C">#REF!</definedName>
    <definedName name="EN_P16_CP">#REF!</definedName>
    <definedName name="EN_P16_R">#REF!</definedName>
    <definedName name="EN_P16_W">#REF!</definedName>
    <definedName name="EN_P17">#REF!</definedName>
    <definedName name="EN_P17_C">#REF!</definedName>
    <definedName name="EN_P17_CP">#REF!</definedName>
    <definedName name="EN_P17_R">#REF!</definedName>
    <definedName name="EN_P17_W">#REF!</definedName>
    <definedName name="EN_P18">#REF!</definedName>
    <definedName name="EN_P18_C">#REF!</definedName>
    <definedName name="EN_P18_CP">#REF!</definedName>
    <definedName name="EN_P18_R">#REF!</definedName>
    <definedName name="EN_P18_W">#REF!</definedName>
    <definedName name="EN_P19">#REF!</definedName>
    <definedName name="EN_P19_C">#REF!</definedName>
    <definedName name="EN_P19_CP">#REF!</definedName>
    <definedName name="EN_P19_R">#REF!</definedName>
    <definedName name="EN_P19_W">#REF!</definedName>
    <definedName name="EN_P20">#REF!</definedName>
    <definedName name="EN_P20_C">#REF!</definedName>
    <definedName name="EN_P20_CP">#REF!</definedName>
    <definedName name="EN_P20_R">#REF!</definedName>
    <definedName name="EN_P20_W">#REF!</definedName>
    <definedName name="EN_P21">#REF!</definedName>
    <definedName name="EN_P21_C">#REF!</definedName>
    <definedName name="EN_P21_CP">#REF!</definedName>
    <definedName name="EN_P21_R">#REF!</definedName>
    <definedName name="EN_P21_W">#REF!</definedName>
    <definedName name="EN_P22">#REF!</definedName>
    <definedName name="EN_P22_C">#REF!</definedName>
    <definedName name="EN_P22_CP">#REF!</definedName>
    <definedName name="EN_P22_R">#REF!</definedName>
    <definedName name="EN_P22_W">#REF!</definedName>
    <definedName name="EN_P23">#REF!</definedName>
    <definedName name="EN_P23_C">#REF!</definedName>
    <definedName name="EN_P23_CP">#REF!</definedName>
    <definedName name="EN_P23_R">#REF!</definedName>
    <definedName name="EN_P23_W">#REF!</definedName>
    <definedName name="EN_P24">#REF!</definedName>
    <definedName name="EN_P24_C">#REF!</definedName>
    <definedName name="EN_P24_CP">#REF!</definedName>
    <definedName name="EN_P24_R">#REF!</definedName>
    <definedName name="EN_P24_W">#REF!</definedName>
    <definedName name="EN_P25">#REF!</definedName>
    <definedName name="EN_P25_C">#REF!</definedName>
    <definedName name="EN_P25_CP">#REF!</definedName>
    <definedName name="EN_P25_R">#REF!</definedName>
    <definedName name="EN_P25_W">#REF!</definedName>
    <definedName name="EN_P26">#REF!</definedName>
    <definedName name="EN_P26_C">#REF!</definedName>
    <definedName name="EN_P26_CP">#REF!</definedName>
    <definedName name="EN_P26_R">#REF!</definedName>
    <definedName name="EN_P26_W">#REF!</definedName>
    <definedName name="EN_P27">#REF!</definedName>
    <definedName name="EN_P27_C">#REF!</definedName>
    <definedName name="EN_P27_CP">#REF!</definedName>
    <definedName name="EN_P27_R">#REF!</definedName>
    <definedName name="EN_P27_W">#REF!</definedName>
    <definedName name="EN_P28">#REF!</definedName>
    <definedName name="EN_P28_C">#REF!</definedName>
    <definedName name="EN_P28_CP">#REF!</definedName>
    <definedName name="EN_P28_R">#REF!</definedName>
    <definedName name="EN_P28_W">#REF!</definedName>
    <definedName name="EN_P29">#REF!</definedName>
    <definedName name="EN_P29_C">#REF!</definedName>
    <definedName name="EN_P29_CP">#REF!</definedName>
    <definedName name="EN_P29_R">#REF!</definedName>
    <definedName name="EN_P29_W">#REF!</definedName>
    <definedName name="EN_P30">#REF!</definedName>
    <definedName name="EN_P30_C">#REF!</definedName>
    <definedName name="EN_P30_CP">#REF!</definedName>
    <definedName name="EN_P30_R">#REF!</definedName>
    <definedName name="EN_P30_W">#REF!</definedName>
    <definedName name="EN_P31">#REF!</definedName>
    <definedName name="EN_P31_C">#REF!</definedName>
    <definedName name="EN_P31_CP">#REF!</definedName>
    <definedName name="EN_P31_R">#REF!</definedName>
    <definedName name="EN_P31_W">#REF!</definedName>
    <definedName name="EN_P32">#REF!</definedName>
    <definedName name="EN_P32_C">#REF!</definedName>
    <definedName name="EN_P32_CP">#REF!</definedName>
    <definedName name="EN_P32_R">#REF!</definedName>
    <definedName name="EN_P32_W">#REF!</definedName>
    <definedName name="EN_P33">#REF!</definedName>
    <definedName name="EN_P33_C">#REF!</definedName>
    <definedName name="EN_P33_CP">#REF!</definedName>
    <definedName name="EN_P33_R">#REF!</definedName>
    <definedName name="EN_P33_W">#REF!</definedName>
    <definedName name="EN_P34">#REF!</definedName>
    <definedName name="EN_P34_C">#REF!</definedName>
    <definedName name="EN_P34_CP">#REF!</definedName>
    <definedName name="EN_P34_R">#REF!</definedName>
    <definedName name="EN_P34_W">#REF!</definedName>
    <definedName name="EN_P35">#REF!</definedName>
    <definedName name="EN_P35_C">#REF!</definedName>
    <definedName name="EN_P35_CP">#REF!</definedName>
    <definedName name="EN_P35_R">#REF!</definedName>
    <definedName name="EN_P35_W">#REF!</definedName>
    <definedName name="EN_P36">#REF!</definedName>
    <definedName name="EN_P36_C">#REF!</definedName>
    <definedName name="EN_P36_CP">#REF!</definedName>
    <definedName name="EN_P36_R">#REF!</definedName>
    <definedName name="EN_P36_W">#REF!</definedName>
    <definedName name="EN_P37">#REF!</definedName>
    <definedName name="EN_P37_C">#REF!</definedName>
    <definedName name="EN_P37_CP">#REF!</definedName>
    <definedName name="EN_P37_R">#REF!</definedName>
    <definedName name="EN_P37_W">#REF!</definedName>
    <definedName name="EN_P38">#REF!</definedName>
    <definedName name="EN_P38_C">#REF!</definedName>
    <definedName name="EN_P38_CP">#REF!</definedName>
    <definedName name="EN_P38_R">#REF!</definedName>
    <definedName name="EN_P38_W">#REF!</definedName>
    <definedName name="EN_P39">#REF!</definedName>
    <definedName name="EN_P39_C">#REF!</definedName>
    <definedName name="EN_P39_CP">#REF!</definedName>
    <definedName name="EN_P39_R">#REF!</definedName>
    <definedName name="EN_P39_W">#REF!</definedName>
    <definedName name="EN_P40">#REF!</definedName>
    <definedName name="EN_P40_C">#REF!</definedName>
    <definedName name="EN_P40_CP">#REF!</definedName>
    <definedName name="EN_P40_R">#REF!</definedName>
    <definedName name="EN_P40_W">#REF!</definedName>
    <definedName name="EN_P41">#REF!</definedName>
    <definedName name="EN_P41_C">#REF!</definedName>
    <definedName name="EN_P41_CP">#REF!</definedName>
    <definedName name="EN_P41_R">#REF!</definedName>
    <definedName name="EN_P41_W">#REF!</definedName>
    <definedName name="EN_P42">#REF!</definedName>
    <definedName name="EN_P42_C">#REF!</definedName>
    <definedName name="EN_P42_CP">#REF!</definedName>
    <definedName name="EN_P42_R">#REF!</definedName>
    <definedName name="EN_P42_W">#REF!</definedName>
    <definedName name="EN_P43">#REF!</definedName>
    <definedName name="EN_P43_C">#REF!</definedName>
    <definedName name="EN_P43_CP">#REF!</definedName>
    <definedName name="EN_P43_R">#REF!</definedName>
    <definedName name="EN_P43_W">#REF!</definedName>
    <definedName name="EN_P44">#REF!</definedName>
    <definedName name="EN_P44_C">#REF!</definedName>
    <definedName name="EN_P44_CP">#REF!</definedName>
    <definedName name="EN_P44_R">#REF!</definedName>
    <definedName name="EN_P44_W">#REF!</definedName>
    <definedName name="EN_P45">#REF!</definedName>
    <definedName name="EN_P45_C">#REF!</definedName>
    <definedName name="EN_P45_CP">#REF!</definedName>
    <definedName name="EN_P45_R">#REF!</definedName>
    <definedName name="EN_P45_W">#REF!</definedName>
    <definedName name="EN_R01">#REF!</definedName>
    <definedName name="EN_R02">#REF!</definedName>
    <definedName name="EN_R03">#REF!</definedName>
    <definedName name="EN_R04">#REF!</definedName>
    <definedName name="EN_R05">#REF!</definedName>
    <definedName name="EN_R06">#REF!</definedName>
    <definedName name="EN_R07">#REF!</definedName>
    <definedName name="EN_R08">#REF!</definedName>
    <definedName name="EN_R09">#REF!</definedName>
    <definedName name="EN_R10">#REF!</definedName>
    <definedName name="EN_R11">#REF!</definedName>
    <definedName name="EN_R12">#REF!</definedName>
    <definedName name="EN_R13">#REF!</definedName>
    <definedName name="EN_R14">#REF!</definedName>
    <definedName name="EN_R15">#REF!</definedName>
    <definedName name="EN_R16">#REF!</definedName>
    <definedName name="EN_R17">#REF!</definedName>
    <definedName name="EN_R18">#REF!</definedName>
    <definedName name="EN_R19">#REF!</definedName>
    <definedName name="EN_R20">#REF!</definedName>
    <definedName name="EN_R21">#REF!</definedName>
    <definedName name="EN_R22">#REF!</definedName>
    <definedName name="EN_R23">#REF!</definedName>
    <definedName name="EN_R24">#REF!</definedName>
    <definedName name="EN_R25">#REF!</definedName>
    <definedName name="EN_R26">#REF!</definedName>
    <definedName name="EN_R27">#REF!</definedName>
    <definedName name="EN_R28">#REF!</definedName>
    <definedName name="EN_R29">#REF!</definedName>
    <definedName name="EN_R30">#REF!</definedName>
    <definedName name="EN_R31">#REF!</definedName>
    <definedName name="EN_R32">#REF!</definedName>
    <definedName name="EN_R33">#REF!</definedName>
    <definedName name="EN_R34">#REF!</definedName>
    <definedName name="EN_R35">#REF!</definedName>
    <definedName name="EN_R36">#REF!</definedName>
    <definedName name="EN_R37">#REF!</definedName>
    <definedName name="EN_R38">#REF!</definedName>
    <definedName name="EN_R39">#REF!</definedName>
    <definedName name="EN_R40">#REF!</definedName>
    <definedName name="EN_R41">#REF!</definedName>
    <definedName name="EN_R42">#REF!</definedName>
    <definedName name="EN_R43">#REF!</definedName>
    <definedName name="EN_R44">#REF!</definedName>
    <definedName name="EN_R45">#REF!</definedName>
    <definedName name="EX_P01">#REF!</definedName>
    <definedName name="EX_P01_C">#REF!</definedName>
    <definedName name="EX_P01_CP">#REF!</definedName>
    <definedName name="EX_P01_R">#REF!</definedName>
    <definedName name="EX_P01_W">#REF!</definedName>
    <definedName name="EX_P02">#REF!</definedName>
    <definedName name="EX_P02_C">#REF!</definedName>
    <definedName name="EX_P02_CP">#REF!</definedName>
    <definedName name="EX_P02_R">#REF!</definedName>
    <definedName name="EX_P02_W">#REF!</definedName>
    <definedName name="EX_P03">#REF!</definedName>
    <definedName name="EX_P03_C">#REF!</definedName>
    <definedName name="EX_P03_CP">#REF!</definedName>
    <definedName name="EX_P03_R">#REF!</definedName>
    <definedName name="EX_P03_W">#REF!</definedName>
    <definedName name="EX_P04">#REF!</definedName>
    <definedName name="EX_P04_C">#REF!</definedName>
    <definedName name="EX_P04_CP">#REF!</definedName>
    <definedName name="EX_P04_R">#REF!</definedName>
    <definedName name="EX_P04_W">#REF!</definedName>
    <definedName name="EX_P05">#REF!</definedName>
    <definedName name="EX_P05_C">#REF!</definedName>
    <definedName name="EX_P05_CP">#REF!</definedName>
    <definedName name="EX_P05_R">#REF!</definedName>
    <definedName name="EX_P05_W">#REF!</definedName>
    <definedName name="EX_P06">#REF!</definedName>
    <definedName name="EX_P06_C">#REF!</definedName>
    <definedName name="EX_P06_CP">#REF!</definedName>
    <definedName name="EX_P06_R">#REF!</definedName>
    <definedName name="EX_P06_W">#REF!</definedName>
    <definedName name="EX_P07">#REF!</definedName>
    <definedName name="EX_P07_C">#REF!</definedName>
    <definedName name="EX_P07_CP">#REF!</definedName>
    <definedName name="EX_P07_R">#REF!</definedName>
    <definedName name="EX_P07_W">#REF!</definedName>
    <definedName name="EX_P08">#REF!</definedName>
    <definedName name="EX_P08_C">#REF!</definedName>
    <definedName name="EX_P08_CP">#REF!</definedName>
    <definedName name="EX_P08_R">#REF!</definedName>
    <definedName name="EX_P08_W">#REF!</definedName>
    <definedName name="EX_P09">#REF!</definedName>
    <definedName name="EX_P09_C">#REF!</definedName>
    <definedName name="EX_P09_CP">#REF!</definedName>
    <definedName name="EX_P09_R">#REF!</definedName>
    <definedName name="EX_P09_W">#REF!</definedName>
    <definedName name="EX_P10">#REF!</definedName>
    <definedName name="EX_P10_C">#REF!</definedName>
    <definedName name="EX_P10_CP">#REF!</definedName>
    <definedName name="EX_P10_R">#REF!</definedName>
    <definedName name="EX_P10_W">#REF!</definedName>
    <definedName name="EX_P11">#REF!</definedName>
    <definedName name="EX_P11_C">#REF!</definedName>
    <definedName name="EX_P11_CP">#REF!</definedName>
    <definedName name="EX_P11_R">#REF!</definedName>
    <definedName name="EX_P11_W">#REF!</definedName>
    <definedName name="EX_P12">#REF!</definedName>
    <definedName name="EX_P12_C">#REF!</definedName>
    <definedName name="EX_P12_CP">#REF!</definedName>
    <definedName name="EX_P12_R">#REF!</definedName>
    <definedName name="EX_P12_W">#REF!</definedName>
    <definedName name="EX_P13">#REF!</definedName>
    <definedName name="EX_P13_C">#REF!</definedName>
    <definedName name="EX_P13_CP">#REF!</definedName>
    <definedName name="EX_P13_R">#REF!</definedName>
    <definedName name="EX_P13_W">#REF!</definedName>
    <definedName name="EX_P14">#REF!</definedName>
    <definedName name="EX_P14_C">#REF!</definedName>
    <definedName name="EX_P14_CP">#REF!</definedName>
    <definedName name="EX_P14_R">#REF!</definedName>
    <definedName name="EX_P14_W">#REF!</definedName>
    <definedName name="EX_P15">#REF!</definedName>
    <definedName name="EX_P15_C">#REF!</definedName>
    <definedName name="EX_P15_CP">#REF!</definedName>
    <definedName name="EX_P15_R">#REF!</definedName>
    <definedName name="EX_P15_W">#REF!</definedName>
    <definedName name="EX_P16">#REF!</definedName>
    <definedName name="EX_P16_C">#REF!</definedName>
    <definedName name="EX_P16_CP">#REF!</definedName>
    <definedName name="EX_P16_R">#REF!</definedName>
    <definedName name="EX_P16_W">#REF!</definedName>
    <definedName name="EX_P17">#REF!</definedName>
    <definedName name="EX_P17_C">#REF!</definedName>
    <definedName name="EX_P17_CP">#REF!</definedName>
    <definedName name="EX_P17_R">#REF!</definedName>
    <definedName name="EX_P17_W">#REF!</definedName>
    <definedName name="EX_P18">#REF!</definedName>
    <definedName name="EX_P18_C">#REF!</definedName>
    <definedName name="EX_P18_CP">#REF!</definedName>
    <definedName name="EX_P18_R">#REF!</definedName>
    <definedName name="EX_P18_W">#REF!</definedName>
    <definedName name="EX_P19">#REF!</definedName>
    <definedName name="EX_P19_C">#REF!</definedName>
    <definedName name="EX_P19_CP">#REF!</definedName>
    <definedName name="EX_P19_R">#REF!</definedName>
    <definedName name="EX_P19_W">#REF!</definedName>
    <definedName name="EX_P20">#REF!</definedName>
    <definedName name="EX_P20_C">#REF!</definedName>
    <definedName name="EX_P20_CP">#REF!</definedName>
    <definedName name="EX_P20_R">#REF!</definedName>
    <definedName name="EX_P20_W">#REF!</definedName>
    <definedName name="EX_P21">#REF!</definedName>
    <definedName name="EX_P21_C">#REF!</definedName>
    <definedName name="EX_P21_CP">#REF!</definedName>
    <definedName name="EX_P21_R">#REF!</definedName>
    <definedName name="EX_P21_W">#REF!</definedName>
    <definedName name="EX_P22">#REF!</definedName>
    <definedName name="EX_P22_C">#REF!</definedName>
    <definedName name="EX_P22_CP">#REF!</definedName>
    <definedName name="EX_P22_R">#REF!</definedName>
    <definedName name="EX_P22_W">#REF!</definedName>
    <definedName name="EX_P23">#REF!</definedName>
    <definedName name="EX_P23_C">#REF!</definedName>
    <definedName name="EX_P23_CP">#REF!</definedName>
    <definedName name="EX_P23_R">#REF!</definedName>
    <definedName name="EX_P23_W">#REF!</definedName>
    <definedName name="EX_P24">#REF!</definedName>
    <definedName name="EX_P24_C">#REF!</definedName>
    <definedName name="EX_P24_CP">#REF!</definedName>
    <definedName name="EX_P24_R">#REF!</definedName>
    <definedName name="EX_P24_W">#REF!</definedName>
    <definedName name="EX_P25">#REF!</definedName>
    <definedName name="EX_P25_C">#REF!</definedName>
    <definedName name="EX_P25_CP">#REF!</definedName>
    <definedName name="EX_P25_R">#REF!</definedName>
    <definedName name="EX_P25_W">#REF!</definedName>
    <definedName name="EX_P26">#REF!</definedName>
    <definedName name="EX_P26_C">#REF!</definedName>
    <definedName name="EX_P26_CP">#REF!</definedName>
    <definedName name="EX_P26_R">#REF!</definedName>
    <definedName name="EX_P26_W">#REF!</definedName>
    <definedName name="EX_P27">#REF!</definedName>
    <definedName name="EX_P27_C">#REF!</definedName>
    <definedName name="EX_P27_CP">#REF!</definedName>
    <definedName name="EX_P27_R">#REF!</definedName>
    <definedName name="EX_P27_W">#REF!</definedName>
    <definedName name="EX_P28">#REF!</definedName>
    <definedName name="EX_P28_C">#REF!</definedName>
    <definedName name="EX_P28_CP">#REF!</definedName>
    <definedName name="EX_P28_R">#REF!</definedName>
    <definedName name="EX_P28_W">#REF!</definedName>
    <definedName name="EX_P29">#REF!</definedName>
    <definedName name="EX_P29_C">#REF!</definedName>
    <definedName name="EX_P29_CP">#REF!</definedName>
    <definedName name="EX_P29_R">#REF!</definedName>
    <definedName name="EX_P29_W">#REF!</definedName>
    <definedName name="EX_P30">#REF!</definedName>
    <definedName name="EX_P30_C">#REF!</definedName>
    <definedName name="EX_P30_CP">#REF!</definedName>
    <definedName name="EX_P30_R">#REF!</definedName>
    <definedName name="EX_P30_W">#REF!</definedName>
    <definedName name="EX_P31">#REF!</definedName>
    <definedName name="EX_P31_C">#REF!</definedName>
    <definedName name="EX_P31_CP">#REF!</definedName>
    <definedName name="EX_P31_R">#REF!</definedName>
    <definedName name="EX_P31_W">#REF!</definedName>
    <definedName name="EX_P32">#REF!</definedName>
    <definedName name="EX_P32_C">#REF!</definedName>
    <definedName name="EX_P32_CP">#REF!</definedName>
    <definedName name="EX_P32_R">#REF!</definedName>
    <definedName name="EX_P32_W">#REF!</definedName>
    <definedName name="EX_P33">#REF!</definedName>
    <definedName name="EX_P33_C">#REF!</definedName>
    <definedName name="EX_P33_CP">#REF!</definedName>
    <definedName name="EX_P33_R">#REF!</definedName>
    <definedName name="EX_P33_W">#REF!</definedName>
    <definedName name="EX_P34">#REF!</definedName>
    <definedName name="EX_P34_C">#REF!</definedName>
    <definedName name="EX_P34_CP">#REF!</definedName>
    <definedName name="EX_P34_R">#REF!</definedName>
    <definedName name="EX_P34_W">#REF!</definedName>
    <definedName name="EX_P35">#REF!</definedName>
    <definedName name="EX_P35_C">#REF!</definedName>
    <definedName name="EX_P35_CP">#REF!</definedName>
    <definedName name="EX_P35_R">#REF!</definedName>
    <definedName name="EX_P35_W">#REF!</definedName>
    <definedName name="EX_P36">#REF!</definedName>
    <definedName name="EX_P36_C">#REF!</definedName>
    <definedName name="EX_P36_CP">#REF!</definedName>
    <definedName name="EX_P36_R">#REF!</definedName>
    <definedName name="EX_P36_W">#REF!</definedName>
    <definedName name="EX_P37">#REF!</definedName>
    <definedName name="EX_P37_C">#REF!</definedName>
    <definedName name="EX_P37_CP">#REF!</definedName>
    <definedName name="EX_P37_R">#REF!</definedName>
    <definedName name="EX_P37_W">#REF!</definedName>
    <definedName name="EX_P38">#REF!</definedName>
    <definedName name="EX_P38_C">#REF!</definedName>
    <definedName name="EX_P38_CP">#REF!</definedName>
    <definedName name="EX_P38_R">#REF!</definedName>
    <definedName name="EX_P38_W">#REF!</definedName>
    <definedName name="EX_P39">#REF!</definedName>
    <definedName name="EX_P39_C">#REF!</definedName>
    <definedName name="EX_P39_CP">#REF!</definedName>
    <definedName name="EX_P39_R">#REF!</definedName>
    <definedName name="EX_P39_W">#REF!</definedName>
    <definedName name="EX_P40">#REF!</definedName>
    <definedName name="EX_P40_C">#REF!</definedName>
    <definedName name="EX_P40_CP">#REF!</definedName>
    <definedName name="EX_P40_R">#REF!</definedName>
    <definedName name="EX_P40_W">#REF!</definedName>
    <definedName name="EX_P41">#REF!</definedName>
    <definedName name="EX_P41_C">#REF!</definedName>
    <definedName name="EX_P41_CP">#REF!</definedName>
    <definedName name="EX_P41_R">#REF!</definedName>
    <definedName name="EX_P41_W">#REF!</definedName>
    <definedName name="EX_P42">#REF!</definedName>
    <definedName name="EX_P42_C">#REF!</definedName>
    <definedName name="EX_P42_CP">#REF!</definedName>
    <definedName name="EX_P42_R">#REF!</definedName>
    <definedName name="EX_P42_W">#REF!</definedName>
    <definedName name="EX_P43">#REF!</definedName>
    <definedName name="EX_P43_C">#REF!</definedName>
    <definedName name="EX_P43_CP">#REF!</definedName>
    <definedName name="EX_P43_R">#REF!</definedName>
    <definedName name="EX_P43_W">#REF!</definedName>
    <definedName name="EX_P44">#REF!</definedName>
    <definedName name="EX_P44_C">#REF!</definedName>
    <definedName name="EX_P44_CP">#REF!</definedName>
    <definedName name="EX_P44_R">#REF!</definedName>
    <definedName name="EX_P44_W">#REF!</definedName>
    <definedName name="EX_P45">#REF!</definedName>
    <definedName name="EX_P45_C">#REF!</definedName>
    <definedName name="EX_P45_CP">#REF!</definedName>
    <definedName name="EX_P45_R">#REF!</definedName>
    <definedName name="EX_P45_W">#REF!</definedName>
    <definedName name="EX_R01">#REF!</definedName>
    <definedName name="EX_R02">#REF!</definedName>
    <definedName name="EX_R03">#REF!</definedName>
    <definedName name="EX_R04">#REF!</definedName>
    <definedName name="EX_R05">#REF!</definedName>
    <definedName name="EX_R06">#REF!</definedName>
    <definedName name="EX_R07">#REF!</definedName>
    <definedName name="EX_R08">#REF!</definedName>
    <definedName name="EX_R09">#REF!</definedName>
    <definedName name="EX_R10">#REF!</definedName>
    <definedName name="EX_R11">#REF!</definedName>
    <definedName name="EX_R12">#REF!</definedName>
    <definedName name="EX_R13">#REF!</definedName>
    <definedName name="EX_R14">#REF!</definedName>
    <definedName name="EX_R15">#REF!</definedName>
    <definedName name="EX_R16">#REF!</definedName>
    <definedName name="EX_R17">#REF!</definedName>
    <definedName name="EX_R18">#REF!</definedName>
    <definedName name="EX_R19">#REF!</definedName>
    <definedName name="EX_R20">#REF!</definedName>
    <definedName name="EX_R21">#REF!</definedName>
    <definedName name="EX_R22">#REF!</definedName>
    <definedName name="EX_R23">#REF!</definedName>
    <definedName name="EX_R24">#REF!</definedName>
    <definedName name="EX_R25">#REF!</definedName>
    <definedName name="EX_R26">#REF!</definedName>
    <definedName name="EX_R27">#REF!</definedName>
    <definedName name="EX_R28">#REF!</definedName>
    <definedName name="EX_R29">#REF!</definedName>
    <definedName name="EX_R30">#REF!</definedName>
    <definedName name="EX_R31">#REF!</definedName>
    <definedName name="EX_R32">#REF!</definedName>
    <definedName name="EX_R33">#REF!</definedName>
    <definedName name="EX_R34">#REF!</definedName>
    <definedName name="EX_R35">#REF!</definedName>
    <definedName name="EX_R36">#REF!</definedName>
    <definedName name="EX_R37">#REF!</definedName>
    <definedName name="EX_R38">#REF!</definedName>
    <definedName name="EX_R39">#REF!</definedName>
    <definedName name="EX_R40">#REF!</definedName>
    <definedName name="EX_R41">#REF!</definedName>
    <definedName name="EX_R42">#REF!</definedName>
    <definedName name="EX_R43">#REF!</definedName>
    <definedName name="EX_R44">#REF!</definedName>
    <definedName name="EX_R45">#REF!</definedName>
    <definedName name="GoldPayup">#REF!</definedName>
    <definedName name="GSCondo">#REF!</definedName>
    <definedName name="GSDSCR0">#REF!</definedName>
    <definedName name="GSDSCR1">#REF!</definedName>
    <definedName name="GSDSCR1.25">#REF!</definedName>
    <definedName name="GSDSCRFinalPrice">#REF!</definedName>
    <definedName name="GSDSCRFinalRates">#REF!</definedName>
    <definedName name="GSIO">#REF!</definedName>
    <definedName name="GSNonPrime12MBank">#REF!</definedName>
    <definedName name="GSNonPrime1M">#REF!</definedName>
    <definedName name="GSNonPrime24MBank">#REF!</definedName>
    <definedName name="GSNonPrime2M">#REF!</definedName>
    <definedName name="GSNonPrime2ndHome">#REF!</definedName>
    <definedName name="GsNonPrimeCashout">#REF!</definedName>
    <definedName name="GSNonPrimeCondo">#REF!</definedName>
    <definedName name="GSNonPrimeDTI43">#REF!</definedName>
    <definedName name="GSNonPrimeFinalPrice">#REF!</definedName>
    <definedName name="GSNonPrimeFinalRates">#REF!</definedName>
    <definedName name="GSNonPrimeInvestor">#REF!</definedName>
    <definedName name="GSNonPrimeIO">#REF!</definedName>
    <definedName name="GSNonPrimeMultiUnit">#REF!</definedName>
    <definedName name="Input_List_Ratesheet">#REF!</definedName>
    <definedName name="Input_List_Ratesheet_Group">#REF!</definedName>
    <definedName name="Input_Master_Ratesheet">#REF!</definedName>
    <definedName name="Input_PriceAdj_CORRND_JM">#REF!</definedName>
    <definedName name="Input_PriceAdj_CORRPL_JM">#REF!</definedName>
    <definedName name="Input_PriceAdj_RETL_JM">#REF!</definedName>
    <definedName name="Input_ProfitMargin_CORRND_JM">#REF!</definedName>
    <definedName name="Input_ProfitMargin_CORRPL_JM">#REF!</definedName>
    <definedName name="Input_ProfitMargin_RETL_JM">#REF!</definedName>
    <definedName name="Input_Stamp_Header03">#REF!</definedName>
    <definedName name="Input_Stamp_Header04">#REF!</definedName>
    <definedName name="Input_Stamp_Header05">#REF!</definedName>
    <definedName name="InputCoverageRatio">#REF!</definedName>
    <definedName name="InputCoverageRatio1">#REF!</definedName>
    <definedName name="InputCreditEvent">#REF!</definedName>
    <definedName name="InputCreditEvent1">#REF!</definedName>
    <definedName name="InputCreditType">#REF!</definedName>
    <definedName name="InputCreditType1">#REF!</definedName>
    <definedName name="InputDocType">#REF!</definedName>
    <definedName name="InputDocType1">#REF!</definedName>
    <definedName name="InputDTI">#REF!</definedName>
    <definedName name="InputDTI1">#REF!</definedName>
    <definedName name="InputIO">#REF!</definedName>
    <definedName name="InputIO1">#REF!</definedName>
    <definedName name="InputLineNumber">#REF!</definedName>
    <definedName name="InputLoanBal">#REF!</definedName>
    <definedName name="InputLoanBal1">#REF!</definedName>
    <definedName name="InputLoopType">#REF!</definedName>
    <definedName name="InputNoteRate">#REF!</definedName>
    <definedName name="InputNoteRate1">#REF!</definedName>
    <definedName name="InputOccupancyType">#REF!</definedName>
    <definedName name="InputOccupancyType1">#REF!</definedName>
    <definedName name="InputPPP">#REF!</definedName>
    <definedName name="InputPriceDate1">#REF!</definedName>
    <definedName name="InputProductType">#REF!</definedName>
    <definedName name="InputProductType1">#REF!</definedName>
    <definedName name="InputPropertyType">#REF!</definedName>
    <definedName name="InputPropertyType1">#REF!</definedName>
    <definedName name="InputPurposeType">#REF!</definedName>
    <definedName name="InputPurposeType1">#REF!</definedName>
    <definedName name="InputRunType">#REF!</definedName>
    <definedName name="Investor_Citizenship_Table">#REF!</definedName>
    <definedName name="Investor_DocType_Table">#REF!</definedName>
    <definedName name="Investor_DSCR_Table">#REF!</definedName>
    <definedName name="Investor_FICO_LTV_Table">#REF!</definedName>
    <definedName name="Investor_History_Table">#REF!</definedName>
    <definedName name="Investor_PPPTerm_Table">#REF!</definedName>
    <definedName name="Investor_PropType_Table">#REF!</definedName>
    <definedName name="Investor_Purpose_Table">#REF!</definedName>
    <definedName name="InvestorAccessPending" hidden="1">#REF!</definedName>
    <definedName name="InvestorX_Citizenship_Table">#REF!</definedName>
    <definedName name="InvestorX_DSCR">#REF!</definedName>
    <definedName name="InvestorX_FICO_LTV_Table">#REF!</definedName>
    <definedName name="InvestorX_History_Table">#REF!</definedName>
    <definedName name="InvestorX_incomeDoc_Table">#REF!</definedName>
    <definedName name="InvestorX_PPP_Table">#REF!</definedName>
    <definedName name="InvestorX_PropType">#REF!</definedName>
    <definedName name="InvestorX_Purpose_Table">#REF!</definedName>
    <definedName name="INVX_IO_TABLE">#REF!</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LATESTK" hidden="1">1000</definedName>
    <definedName name="IQ_LATESTQ" hidden="1">500</definedName>
    <definedName name="IQ_LTMMONTH" hidden="1">120000</definedName>
    <definedName name="IQ_TODAY" hidden="1">0</definedName>
    <definedName name="IQ_YTDMONTH" hidden="1">130000</definedName>
    <definedName name="LIMADSCRFinalRates">#REF!</definedName>
    <definedName name="LLPANonPrime12MBank">#REF!</definedName>
    <definedName name="LLPANonPrime24MBank">#REF!</definedName>
    <definedName name="LLPANonPrimeBasePrice">#REF!</definedName>
    <definedName name="LLPANonPrimeCreditEvent">#REF!</definedName>
    <definedName name="LLPANonPrimeDTI">#REF!</definedName>
    <definedName name="LLPANonPrimeFICO">#REF!</definedName>
    <definedName name="LLPANonPrimeFinalPrice">#REF!</definedName>
    <definedName name="LLPANonPrimeIO">#REF!</definedName>
    <definedName name="LLPANonPrimeLoanBal">#REF!</definedName>
    <definedName name="LLPANonPrimeOccupancy">#REF!</definedName>
    <definedName name="LLPANonPrimeProduct">#REF!</definedName>
    <definedName name="LLPANonPrimeProperty">#REF!</definedName>
    <definedName name="LLPANonPrimePurpose">#REF!</definedName>
    <definedName name="LLPANonPrimeTotal">#REF!</definedName>
    <definedName name="LoanPoolStart">#REF!</definedName>
    <definedName name="LRPDSCR2M">#REF!</definedName>
    <definedName name="LRPFICO">#REF!</definedName>
    <definedName name="LRPFICO2">#REF!</definedName>
    <definedName name="LRPLTV">#REF!</definedName>
    <definedName name="LRPLTV2">#REF!</definedName>
    <definedName name="LRPNonPrime12MBank">#REF!</definedName>
    <definedName name="LRPNonPrime24MBank">#REF!</definedName>
    <definedName name="LRPNonPrime2M">#REF!</definedName>
    <definedName name="LRPNonPrime2ndHome">#REF!</definedName>
    <definedName name="LRPNonPrime3YRSeason">#REF!</definedName>
    <definedName name="LRPNonPrimeARM5">#REF!</definedName>
    <definedName name="LRPNonPrimeCashout">#REF!</definedName>
    <definedName name="LRPNonPrimeCondo">#REF!</definedName>
    <definedName name="LRPNonPrimeDoc">#REF!</definedName>
    <definedName name="LRPNonPrimeDTI50">#REF!</definedName>
    <definedName name="LRPNonPrimeFICO">#REF!</definedName>
    <definedName name="LRPNonPrimeFinalPrice">#REF!</definedName>
    <definedName name="LRPNonPrimeFinalRates">#REF!</definedName>
    <definedName name="LRPNonPrimeInvestor">#REF!</definedName>
    <definedName name="LRPNonPrimeIO">#REF!</definedName>
    <definedName name="LRPNonPrimeMultiUnit">#REF!</definedName>
    <definedName name="LRPNonPrimeNWCondo">#REF!</definedName>
    <definedName name="LRPNonPrimeRateSheet">#REF!</definedName>
    <definedName name="LRPPriceTable">#REF!</definedName>
    <definedName name="LRPRateTable">#REF!</definedName>
    <definedName name="MAMOutputRange">#REF!</definedName>
    <definedName name="Marginhelpernet">#REF!</definedName>
    <definedName name="NearPTapeBestRate">#REF!</definedName>
    <definedName name="NearPTapeCreditType">#REF!</definedName>
    <definedName name="NearPTapeDocType">#REF!</definedName>
    <definedName name="NearPTapeDTI">#REF!</definedName>
    <definedName name="NearPTapeIOType">#REF!</definedName>
    <definedName name="NearPTapeLRPRate">#REF!</definedName>
    <definedName name="NearPTapeOccupancyType">#REF!</definedName>
    <definedName name="NearPTapeOrigLoanBal">#REF!</definedName>
    <definedName name="NearPTapeProductType">#REF!</definedName>
    <definedName name="NearPTapePurposeType">#REF!</definedName>
    <definedName name="NonPTapeBestRate">#REF!</definedName>
    <definedName name="NonPTapeCreditType">#REF!</definedName>
    <definedName name="NonPTapeDocType">#REF!</definedName>
    <definedName name="NonPTapeDTI">#REF!</definedName>
    <definedName name="NonPTapeFICO">#REF!</definedName>
    <definedName name="NonPTapeIOType">#REF!</definedName>
    <definedName name="NonPTapeLRPRate">#REF!</definedName>
    <definedName name="NonPTapeLTV">#REF!</definedName>
    <definedName name="NonPTapeOccupancyType">#REF!</definedName>
    <definedName name="NonPTapeOrigLoanBal">#REF!</definedName>
    <definedName name="NonPTapeProductType">#REF!</definedName>
    <definedName name="NonPTapePurposeType">#REF!</definedName>
    <definedName name="Output.PathFile">#REF!</definedName>
    <definedName name="OutputFinalPrice">#REF!</definedName>
    <definedName name="OutputRange">#REF!</definedName>
    <definedName name="PMCoverageRatio">#REF!</definedName>
    <definedName name="PMCreditEvent">#REF!</definedName>
    <definedName name="PMCreditType">#REF!</definedName>
    <definedName name="PMDocType">#REF!</definedName>
    <definedName name="PMDTI">#REF!</definedName>
    <definedName name="PMFICO">#REF!</definedName>
    <definedName name="PMFinalPrice">#REF!</definedName>
    <definedName name="PMHousingHistory">#REF!</definedName>
    <definedName name="PMIOType">#REF!</definedName>
    <definedName name="PMNoteRate">#REF!</definedName>
    <definedName name="PMOccupancyType">#REF!</definedName>
    <definedName name="PMOrigLoanBal">#REF!</definedName>
    <definedName name="PMProductType">#REF!</definedName>
    <definedName name="PMPropertyType">#REF!</definedName>
    <definedName name="PMPurposeType">#REF!</definedName>
    <definedName name="PrimeX_DTI">#REF!</definedName>
    <definedName name="PrimeX_FICO_LTV">#REF!</definedName>
    <definedName name="PrimeX_History">#REF!</definedName>
    <definedName name="PrimeX_IncomeDoc">#REF!</definedName>
    <definedName name="PrimeX_IO">#REF!</definedName>
    <definedName name="PrimeX_LoanAmount">#REF!</definedName>
    <definedName name="PrimeX_Occupancy">#REF!</definedName>
    <definedName name="PrimeX_PropType">#REF!</definedName>
    <definedName name="PrimeX_Purpose">#REF!</definedName>
    <definedName name="_xlnm.Print_Area" localSheetId="3">CoreFlex!$A$1:$Q$61</definedName>
    <definedName name="_xlnm.Print_Area" localSheetId="2">DSCR!$A$1:$U$86</definedName>
    <definedName name="_xlnm.Print_Area" localSheetId="1">NonQM!$A$1:$W$88</definedName>
    <definedName name="Range_MaxYSP_All">#REF!</definedName>
    <definedName name="Range_Price_All">#REF!</definedName>
    <definedName name="RateSheet_PPPTerm">#REF!</definedName>
    <definedName name="RefRateSheetRates">#REF!</definedName>
    <definedName name="RunPrice">#REF!</definedName>
    <definedName name="STARDSCR1">#REF!</definedName>
    <definedName name="StarDSCRFinalPrice">#REF!</definedName>
    <definedName name="StarDSCRFinalRates">#REF!</definedName>
    <definedName name="StarNearPrimeFinalPrice">#REF!</definedName>
    <definedName name="StarNearPrimeFinalRates">#REF!</definedName>
    <definedName name="StarNonPrime0.15M">#REF!</definedName>
    <definedName name="StarNonPrime0.1M">#REF!</definedName>
    <definedName name="StarNonPrime1.5M">#REF!</definedName>
    <definedName name="StarNonPrime24MBank">#REF!</definedName>
    <definedName name="StarNonPrime2M">#REF!</definedName>
    <definedName name="StarNonPrime2ndHome">#REF!</definedName>
    <definedName name="StarNonPrime2YRSeason">#REF!</definedName>
    <definedName name="StarNonPrime3M">#REF!</definedName>
    <definedName name="StarNonPrime4YRSeason">#REF!</definedName>
    <definedName name="StarNonPrimeCashout">#REF!</definedName>
    <definedName name="StarNonPrimeDTI43A">#REF!</definedName>
    <definedName name="StarNonPrimeDTI43F">#REF!</definedName>
    <definedName name="StarNonPrimeDTI50">#REF!</definedName>
    <definedName name="StarNonPrimeDTIA">#REF!</definedName>
    <definedName name="StarNonPrimeFinalPrice">#REF!</definedName>
    <definedName name="StarNonPrimeIncentive">#REF!</definedName>
    <definedName name="StarNonPrimeInvestor">#REF!</definedName>
    <definedName name="StarNonPrimeIO">#REF!</definedName>
    <definedName name="StarNonPrimeMultiUnit">#REF!</definedName>
    <definedName name="StarNonPrimeNWCondo">#REF!</definedName>
    <definedName name="VerusDSCR0">#REF!</definedName>
    <definedName name="VerusDSCR0.15M">#REF!</definedName>
    <definedName name="VerusDSCR1">#REF!</definedName>
    <definedName name="VerusDSCR1.5M">#REF!</definedName>
    <definedName name="VerusDSCR2">#REF!</definedName>
    <definedName name="VerusDSCR2.5M">#REF!</definedName>
    <definedName name="VerusDSCR2M">#REF!</definedName>
    <definedName name="VerusDSCR3">#REF!</definedName>
    <definedName name="VerusDSCR3M">#REF!</definedName>
    <definedName name="VerusDSCR4">#REF!</definedName>
    <definedName name="VerusDSCR5">#REF!</definedName>
    <definedName name="VerusDSCRCondo">#REF!</definedName>
    <definedName name="VerusDSCRFinalRates">#REF!</definedName>
    <definedName name="VerusDSCRIO">#REF!</definedName>
    <definedName name="VerusDSCRMultiUnit">#REF!</definedName>
    <definedName name="VerusNearPrime.25M">#REF!</definedName>
    <definedName name="VerusNearPrime12MBank">#REF!</definedName>
    <definedName name="VerusNearPrime2.5M">#REF!</definedName>
    <definedName name="VerusNearPrime2M">#REF!</definedName>
    <definedName name="VerusNearPrime2ndHome">#REF!</definedName>
    <definedName name="VerusNearPrime3M">#REF!</definedName>
    <definedName name="VerusNearPrimeCashout">#REF!</definedName>
    <definedName name="VerusNearPrimeCondo">#REF!</definedName>
    <definedName name="VerusNearPrimeDTI43">#REF!</definedName>
    <definedName name="VerusNearPrimeDTI50">#REF!</definedName>
    <definedName name="VerusNearPrimeFinalRates">#REF!</definedName>
    <definedName name="VerusNearPrimeInvestor">#REF!</definedName>
    <definedName name="VerusNearPrimeIO">#REF!</definedName>
    <definedName name="VerusNearPrimeMultiUnit">#REF!</definedName>
    <definedName name="VerusNonPrime.25M">#REF!</definedName>
    <definedName name="VerusNonPrime1.5M">#REF!</definedName>
    <definedName name="VerusNonPrime12MBank">#REF!</definedName>
    <definedName name="VerusNonPrime2.5M">#REF!</definedName>
    <definedName name="VerusNonPrime2M">#REF!</definedName>
    <definedName name="VerusNonPrime2ndHome">#REF!</definedName>
    <definedName name="VerusNonPrimeCashout">#REF!</definedName>
    <definedName name="VerusNonPrimeCondo">#REF!</definedName>
    <definedName name="VerusNonPrimeDTI43">#REF!</definedName>
    <definedName name="VerusNonPrimeFinalRates">#REF!</definedName>
    <definedName name="VerusNonPrimeInvestor">#REF!</definedName>
    <definedName name="VerusNonPrimeIO">#REF!</definedName>
    <definedName name="VerusNonPrimeMultiUnit">#REF!</definedName>
    <definedName name="WABDSCR1.15">#REF!</definedName>
    <definedName name="WABDSCR1.25">#REF!</definedName>
    <definedName name="WABDSCR1.5M">#REF!</definedName>
    <definedName name="WABDSCR1M">#REF!</definedName>
    <definedName name="WABDSCR2.5M">#REF!</definedName>
    <definedName name="WABDSCR2M">#REF!</definedName>
    <definedName name="WABDSCR2ndHome">#REF!</definedName>
    <definedName name="WABDSCRCashout1">#REF!</definedName>
    <definedName name="WABDSCRCashout2">#REF!</definedName>
    <definedName name="WABDSCRFinalPrice">#REF!</definedName>
    <definedName name="WABDSCRFinalRates">#REF!</definedName>
    <definedName name="WABDSCRIO">#REF!</definedName>
    <definedName name="WABDSCRMultiUnit">#REF!</definedName>
    <definedName name="WABDSCRNWCondo">#REF!</definedName>
    <definedName name="WABNearPrime1.5M">#REF!</definedName>
    <definedName name="WABNearPrime1M">#REF!</definedName>
    <definedName name="WABNearPrime2.5M">#REF!</definedName>
    <definedName name="WABNearPrime2M">#REF!</definedName>
    <definedName name="WABNearPrime2ndHome">#REF!</definedName>
    <definedName name="WABNearPrimeCashout1">#REF!</definedName>
    <definedName name="WABNearPrimeCashout2">#REF!</definedName>
    <definedName name="WABNearPrimeFinalPrice">#REF!</definedName>
    <definedName name="WABNearPrimeFinalRates">#REF!</definedName>
    <definedName name="WABNearPrimeInvestor">#REF!</definedName>
    <definedName name="WABNearPrimeIO">#REF!</definedName>
    <definedName name="WABNearPrimeMultiUnit">#REF!</definedName>
    <definedName name="WABNearPrimeNWCondo">#REF!</definedName>
    <definedName name="WABNearPrimeRTRefi">#REF!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T13" i="2" l="1"/>
  <c r="AL40" i="21"/>
  <c r="Z1" i="4" a="1"/>
  <c r="AH113" i="21" a="1"/>
  <c r="AH38" i="4"/>
  <c r="AL39" i="21"/>
  <c r="AL38" i="21"/>
  <c r="AL44" i="21"/>
  <c r="AL43" i="21"/>
  <c r="AL42" i="21"/>
  <c r="AL41" i="21"/>
  <c r="AL45" i="21"/>
  <c r="E139" i="21" a="1"/>
  <c r="B139" i="21"/>
  <c r="AH107" i="21" a="1"/>
  <c r="AH108" i="21" a="1"/>
  <c r="B44" i="4" a="1"/>
  <c r="D139" i="21" l="1"/>
  <c r="M44" i="21" a="1"/>
  <c r="AH51" i="21" l="1" a="1"/>
  <c r="A20" i="38" a="1"/>
  <c r="P35" i="39" s="1"/>
  <c r="O35" i="39" s="1"/>
  <c r="E137" i="4"/>
  <c r="E138" i="4"/>
  <c r="E136" i="4"/>
  <c r="P31" i="39" a="1"/>
  <c r="P16" i="39"/>
  <c r="B35" i="38"/>
  <c r="B36" i="38"/>
  <c r="B109" i="38"/>
  <c r="P29" i="39"/>
  <c r="P26" i="39"/>
  <c r="P14" i="39"/>
  <c r="D109" i="38"/>
  <c r="E109" i="38" s="1"/>
  <c r="P20" i="39"/>
  <c r="P19" i="39"/>
  <c r="P12" i="39"/>
  <c r="C83" i="38"/>
  <c r="B83" i="38"/>
  <c r="I83" i="38" s="1"/>
  <c r="C82" i="38"/>
  <c r="B82" i="38"/>
  <c r="I82" i="38" s="1"/>
  <c r="C81" i="38"/>
  <c r="B81" i="38"/>
  <c r="I81" i="38" s="1"/>
  <c r="C80" i="38"/>
  <c r="B80" i="38"/>
  <c r="I80" i="38" s="1"/>
  <c r="C79" i="38"/>
  <c r="B79" i="38"/>
  <c r="I79" i="38" s="1"/>
  <c r="C78" i="38"/>
  <c r="B78" i="38"/>
  <c r="I78" i="38" s="1"/>
  <c r="C77" i="38"/>
  <c r="B77" i="38"/>
  <c r="I77" i="38" s="1"/>
  <c r="C76" i="38"/>
  <c r="B76" i="38"/>
  <c r="I76" i="38" s="1"/>
  <c r="C75" i="38"/>
  <c r="B75" i="38"/>
  <c r="I75" i="38" s="1"/>
  <c r="C74" i="38"/>
  <c r="B74" i="38"/>
  <c r="I74" i="38" s="1"/>
  <c r="C73" i="38"/>
  <c r="B73" i="38"/>
  <c r="I73" i="38" s="1"/>
  <c r="C72" i="38"/>
  <c r="B72" i="38"/>
  <c r="I72" i="38" s="1"/>
  <c r="C71" i="38"/>
  <c r="B71" i="38"/>
  <c r="I71" i="38" s="1"/>
  <c r="C70" i="38"/>
  <c r="B70" i="38"/>
  <c r="I70" i="38" s="1"/>
  <c r="C69" i="38"/>
  <c r="B69" i="38"/>
  <c r="I69" i="38" s="1"/>
  <c r="C68" i="38"/>
  <c r="B68" i="38"/>
  <c r="I68" i="38" s="1"/>
  <c r="C67" i="38"/>
  <c r="B67" i="38"/>
  <c r="I67" i="38" s="1"/>
  <c r="C66" i="38"/>
  <c r="B66" i="38"/>
  <c r="I66" i="38" s="1"/>
  <c r="C65" i="38"/>
  <c r="B65" i="38"/>
  <c r="I65" i="38" s="1"/>
  <c r="C64" i="38"/>
  <c r="B64" i="38"/>
  <c r="I64" i="38" s="1"/>
  <c r="C63" i="38"/>
  <c r="B63" i="38"/>
  <c r="I63" i="38" s="1"/>
  <c r="C62" i="38"/>
  <c r="B62" i="38"/>
  <c r="I62" i="38" s="1"/>
  <c r="C61" i="38"/>
  <c r="P45" i="39"/>
  <c r="O46" i="39" s="1"/>
  <c r="P44" i="39"/>
  <c r="B5" i="39"/>
  <c r="B108" i="38"/>
  <c r="G70" i="38"/>
  <c r="G69" i="38"/>
  <c r="P15" i="39" l="1"/>
  <c r="P21" i="39"/>
  <c r="P22" i="39"/>
  <c r="P24" i="39"/>
  <c r="P30" i="39"/>
  <c r="P37" i="39"/>
  <c r="P34" i="39"/>
  <c r="B46" i="38"/>
  <c r="P33" i="39" s="1"/>
  <c r="B61" i="38"/>
  <c r="I61" i="38" s="1"/>
  <c r="E131" i="38"/>
  <c r="E126" i="38"/>
  <c r="P36" i="39" l="1"/>
  <c r="G61" i="38"/>
  <c r="P39" i="39"/>
  <c r="P38" i="39" l="1"/>
  <c r="J61" i="38"/>
  <c r="J62" i="38"/>
  <c r="J63" i="38"/>
  <c r="J64" i="38"/>
  <c r="J65" i="38"/>
  <c r="J66" i="38"/>
  <c r="J67" i="38"/>
  <c r="J68" i="38"/>
  <c r="J69" i="38"/>
  <c r="J70" i="38"/>
  <c r="J71" i="38"/>
  <c r="J72" i="38"/>
  <c r="J73" i="38"/>
  <c r="J74" i="38"/>
  <c r="J75" i="38"/>
  <c r="J76" i="38"/>
  <c r="J77" i="38"/>
  <c r="J78" i="38"/>
  <c r="J79" i="38"/>
  <c r="J80" i="38"/>
  <c r="J81" i="38"/>
  <c r="J82" i="38"/>
  <c r="J83" i="38"/>
  <c r="C5" i="1"/>
  <c r="I105" i="38" l="1" a="1"/>
  <c r="Z1" i="21" a="1"/>
  <c r="V76" i="21"/>
  <c r="E137" i="21"/>
  <c r="B137" i="21"/>
  <c r="B138" i="21"/>
  <c r="B138" i="4"/>
  <c r="D137" i="21"/>
  <c r="N61" i="38" l="1" a="1"/>
  <c r="T37" i="2"/>
  <c r="D138" i="4" l="1"/>
  <c r="AH55" i="21" a="1"/>
  <c r="AH54" i="21" a="1"/>
  <c r="AH53" i="21" a="1"/>
  <c r="AH52" i="21" a="1"/>
  <c r="G76" i="4"/>
  <c r="M65" i="21" l="1" a="1"/>
  <c r="E131" i="4" a="1"/>
  <c r="AH112" i="21" a="1"/>
  <c r="AH111" i="21" a="1"/>
  <c r="AH109" i="21" a="1"/>
  <c r="AH106" i="21" a="1"/>
  <c r="AH105" i="21" a="1"/>
  <c r="AH103" i="21" a="1"/>
  <c r="AH102" i="21" a="1"/>
  <c r="AH100" i="21" a="1"/>
  <c r="AH99" i="21" a="1"/>
  <c r="AH97" i="21" a="1"/>
  <c r="AH96" i="21" a="1"/>
  <c r="AH110" i="21" a="1"/>
  <c r="AH104" i="21" a="1"/>
  <c r="AH101" i="21" a="1"/>
  <c r="AH98" i="21" a="1"/>
  <c r="AH95" i="21" a="1"/>
  <c r="M52" i="21" a="1"/>
  <c r="M70" i="21" a="1"/>
  <c r="M60" i="21" a="1"/>
  <c r="AH85" i="21" l="1"/>
  <c r="E134" i="21"/>
  <c r="E136" i="21"/>
  <c r="V32" i="1" l="1"/>
  <c r="L177" i="21" l="1"/>
  <c r="L176" i="21"/>
  <c r="Z3" i="4" l="1" a="1"/>
  <c r="D121" i="4" l="1"/>
  <c r="D120" i="4"/>
  <c r="D119" i="4"/>
  <c r="D118" i="4"/>
  <c r="D117" i="4"/>
  <c r="D116" i="4"/>
  <c r="D115" i="4"/>
  <c r="D114" i="4"/>
  <c r="D113" i="4"/>
  <c r="D112" i="4"/>
  <c r="D111" i="4"/>
  <c r="D110" i="4"/>
  <c r="D109" i="4"/>
  <c r="D108" i="4"/>
  <c r="D107" i="4"/>
  <c r="D106" i="4"/>
  <c r="D105" i="4"/>
  <c r="D104" i="4"/>
  <c r="D103" i="4"/>
  <c r="D102" i="4"/>
  <c r="D101" i="4"/>
  <c r="D100" i="4"/>
  <c r="D99" i="4"/>
  <c r="D98" i="4"/>
  <c r="D97" i="4"/>
  <c r="D96" i="4"/>
  <c r="D95" i="4"/>
  <c r="D94" i="4"/>
  <c r="D93" i="4"/>
  <c r="D92" i="4"/>
  <c r="D91" i="4"/>
  <c r="D90" i="4"/>
  <c r="D89" i="4"/>
  <c r="D88" i="4"/>
  <c r="D87" i="4"/>
  <c r="D86" i="4"/>
  <c r="D85" i="4"/>
  <c r="D84" i="4"/>
  <c r="D83" i="4"/>
  <c r="D82" i="4"/>
  <c r="L192" i="4"/>
  <c r="K192" i="4"/>
  <c r="J192" i="4"/>
  <c r="I192" i="4"/>
  <c r="H192" i="4"/>
  <c r="G192" i="4"/>
  <c r="F192" i="4"/>
  <c r="E192" i="4"/>
  <c r="D192" i="4"/>
  <c r="L186" i="4"/>
  <c r="K186" i="4"/>
  <c r="J186" i="4"/>
  <c r="I186" i="4"/>
  <c r="H186" i="4"/>
  <c r="G186" i="4"/>
  <c r="F186" i="4"/>
  <c r="E186" i="4"/>
  <c r="D186" i="4"/>
  <c r="L164" i="4"/>
  <c r="K164" i="4"/>
  <c r="J164" i="4"/>
  <c r="I164" i="4"/>
  <c r="H164" i="4"/>
  <c r="G164" i="4"/>
  <c r="F164" i="4"/>
  <c r="E164" i="4"/>
  <c r="D164" i="4"/>
  <c r="R81" i="21"/>
  <c r="H177" i="4" l="1"/>
  <c r="H178" i="4"/>
  <c r="I177" i="4"/>
  <c r="I178" i="4"/>
  <c r="D177" i="4"/>
  <c r="D178" i="4"/>
  <c r="J177" i="4"/>
  <c r="J178" i="4"/>
  <c r="E177" i="4"/>
  <c r="E178" i="4"/>
  <c r="F178" i="4"/>
  <c r="F177" i="4"/>
  <c r="L178" i="4"/>
  <c r="L177" i="4"/>
  <c r="K178" i="4"/>
  <c r="K177" i="4"/>
  <c r="G178" i="4"/>
  <c r="G177" i="4"/>
  <c r="R77" i="21" l="1"/>
  <c r="R77" i="4"/>
  <c r="V37" i="1" l="1"/>
  <c r="T83" i="2"/>
  <c r="R83" i="2"/>
  <c r="Q83" i="2"/>
  <c r="T81" i="2"/>
  <c r="T34" i="2" s="1"/>
  <c r="R81" i="2"/>
  <c r="Q81" i="2"/>
  <c r="T79" i="2"/>
  <c r="R79" i="2"/>
  <c r="Q79" i="2"/>
  <c r="V82" i="1"/>
  <c r="T82" i="1"/>
  <c r="S82" i="1"/>
  <c r="V80" i="1"/>
  <c r="V34" i="1" s="1"/>
  <c r="V78" i="1"/>
  <c r="T80" i="1"/>
  <c r="S80" i="1"/>
  <c r="T78" i="1"/>
  <c r="S78" i="1"/>
  <c r="T45" i="2"/>
  <c r="S46" i="2" s="1"/>
  <c r="T44" i="2"/>
  <c r="V45" i="1"/>
  <c r="U46" i="1" s="1"/>
  <c r="V44" i="1"/>
  <c r="AH85" i="4" l="1"/>
  <c r="AH89" i="21" l="1"/>
  <c r="F121" i="21"/>
  <c r="E121" i="21"/>
  <c r="F120" i="21"/>
  <c r="E120" i="21"/>
  <c r="F119" i="21"/>
  <c r="E119" i="21"/>
  <c r="F118" i="21"/>
  <c r="E118" i="21"/>
  <c r="F117" i="21"/>
  <c r="E117" i="21"/>
  <c r="F116" i="21"/>
  <c r="E116" i="21"/>
  <c r="F115" i="21"/>
  <c r="E115" i="21"/>
  <c r="F114" i="21"/>
  <c r="E114" i="21"/>
  <c r="F113" i="21"/>
  <c r="E113" i="21"/>
  <c r="F112" i="21"/>
  <c r="E112" i="21"/>
  <c r="F111" i="21"/>
  <c r="E111" i="21"/>
  <c r="F110" i="21"/>
  <c r="E110" i="21"/>
  <c r="F109" i="21"/>
  <c r="E109" i="21"/>
  <c r="F108" i="21"/>
  <c r="E108" i="21"/>
  <c r="F107" i="21"/>
  <c r="E107" i="21"/>
  <c r="F106" i="21"/>
  <c r="E106" i="21"/>
  <c r="F105" i="21"/>
  <c r="E105" i="21"/>
  <c r="F104" i="21"/>
  <c r="E104" i="21"/>
  <c r="F103" i="21"/>
  <c r="E103" i="21"/>
  <c r="F102" i="21"/>
  <c r="E102" i="21"/>
  <c r="F101" i="21"/>
  <c r="E101" i="21"/>
  <c r="F100" i="21"/>
  <c r="E100" i="21"/>
  <c r="F99" i="21"/>
  <c r="E99" i="21"/>
  <c r="F98" i="21"/>
  <c r="E98" i="21"/>
  <c r="F97" i="21"/>
  <c r="E97" i="21"/>
  <c r="F96" i="21"/>
  <c r="E96" i="21"/>
  <c r="F95" i="21"/>
  <c r="E95" i="21"/>
  <c r="F94" i="21"/>
  <c r="E94" i="21"/>
  <c r="F93" i="21"/>
  <c r="E93" i="21"/>
  <c r="F92" i="21"/>
  <c r="E92" i="21"/>
  <c r="F91" i="21"/>
  <c r="E91" i="21"/>
  <c r="F90" i="21"/>
  <c r="E90" i="21"/>
  <c r="F89" i="21"/>
  <c r="E89" i="21"/>
  <c r="F88" i="21"/>
  <c r="E88" i="21"/>
  <c r="F87" i="21"/>
  <c r="E87" i="21"/>
  <c r="F86" i="21"/>
  <c r="E86" i="21"/>
  <c r="F85" i="21"/>
  <c r="E85" i="21"/>
  <c r="F84" i="21"/>
  <c r="E84" i="21"/>
  <c r="F83" i="21"/>
  <c r="E83" i="21"/>
  <c r="F82" i="21"/>
  <c r="C118" i="4"/>
  <c r="C113" i="4"/>
  <c r="C112" i="4"/>
  <c r="C111" i="4"/>
  <c r="C110" i="4"/>
  <c r="C108" i="4"/>
  <c r="C107" i="4"/>
  <c r="C106" i="4"/>
  <c r="C97" i="4"/>
  <c r="C96" i="4"/>
  <c r="C95" i="4"/>
  <c r="C94" i="4"/>
  <c r="C92" i="4"/>
  <c r="C91" i="4"/>
  <c r="C90" i="4"/>
  <c r="C85" i="4" l="1"/>
  <c r="C101" i="4"/>
  <c r="C117" i="4"/>
  <c r="C93" i="4"/>
  <c r="C109" i="4"/>
  <c r="C98" i="4"/>
  <c r="C114" i="4"/>
  <c r="C83" i="4"/>
  <c r="C99" i="4"/>
  <c r="C115" i="4"/>
  <c r="C84" i="4"/>
  <c r="C100" i="4"/>
  <c r="C116" i="4"/>
  <c r="C87" i="4"/>
  <c r="C103" i="4"/>
  <c r="C119" i="4"/>
  <c r="C86" i="4"/>
  <c r="C102" i="4"/>
  <c r="C88" i="4"/>
  <c r="C104" i="4"/>
  <c r="C120" i="4"/>
  <c r="C89" i="4"/>
  <c r="C105" i="4"/>
  <c r="C121" i="4"/>
  <c r="B137" i="4" l="1"/>
  <c r="R82" i="21" a="1"/>
  <c r="AH66" i="21"/>
  <c r="AH67" i="21"/>
  <c r="AH68" i="21"/>
  <c r="AH69" i="21"/>
  <c r="AH70" i="21"/>
  <c r="AH71" i="21"/>
  <c r="AH72" i="21"/>
  <c r="AH88" i="21"/>
  <c r="AH87" i="21"/>
  <c r="AH86" i="21"/>
  <c r="AH87" i="4"/>
  <c r="E133" i="21" a="1"/>
  <c r="B133" i="21"/>
  <c r="B121" i="21"/>
  <c r="B120" i="21"/>
  <c r="B119" i="21"/>
  <c r="B118" i="21"/>
  <c r="B117" i="21"/>
  <c r="B116" i="21"/>
  <c r="B115" i="21"/>
  <c r="B114" i="21"/>
  <c r="B113" i="21"/>
  <c r="B112" i="21"/>
  <c r="B111" i="21"/>
  <c r="B110" i="21"/>
  <c r="B109" i="21"/>
  <c r="B108" i="21"/>
  <c r="B107" i="21"/>
  <c r="B106" i="21"/>
  <c r="B105" i="21"/>
  <c r="B104" i="21"/>
  <c r="B103" i="21"/>
  <c r="B102" i="21"/>
  <c r="B101" i="21"/>
  <c r="B100" i="21"/>
  <c r="B99" i="21"/>
  <c r="B98" i="21"/>
  <c r="B97" i="21"/>
  <c r="B96" i="21"/>
  <c r="B95" i="21"/>
  <c r="B94" i="21"/>
  <c r="B93" i="21"/>
  <c r="B92" i="21"/>
  <c r="B91" i="21"/>
  <c r="B90" i="21"/>
  <c r="B89" i="21"/>
  <c r="B88" i="21"/>
  <c r="B87" i="21"/>
  <c r="B86" i="21"/>
  <c r="B85" i="21"/>
  <c r="B84" i="21"/>
  <c r="B83" i="21"/>
  <c r="E82" i="21"/>
  <c r="B82" i="21"/>
  <c r="B121" i="4"/>
  <c r="B120" i="4"/>
  <c r="B119" i="4"/>
  <c r="B118" i="4"/>
  <c r="B117" i="4"/>
  <c r="B116" i="4"/>
  <c r="B115" i="4"/>
  <c r="B114" i="4"/>
  <c r="B113" i="4"/>
  <c r="B112" i="4"/>
  <c r="B111" i="4"/>
  <c r="B110" i="4"/>
  <c r="B109" i="4"/>
  <c r="B108" i="4"/>
  <c r="B107" i="4"/>
  <c r="B106" i="4"/>
  <c r="B105" i="4"/>
  <c r="B104" i="4"/>
  <c r="B103" i="4"/>
  <c r="B102" i="4"/>
  <c r="B101" i="4"/>
  <c r="B100" i="4"/>
  <c r="B99" i="4"/>
  <c r="B98" i="4"/>
  <c r="B97" i="4"/>
  <c r="B96" i="4"/>
  <c r="B95" i="4"/>
  <c r="B94" i="4"/>
  <c r="B93" i="4"/>
  <c r="B92" i="4"/>
  <c r="B91" i="4"/>
  <c r="B90" i="4"/>
  <c r="B89" i="4"/>
  <c r="B88" i="4"/>
  <c r="B87" i="4"/>
  <c r="B86" i="4"/>
  <c r="B85" i="4"/>
  <c r="B84" i="4"/>
  <c r="B83" i="4"/>
  <c r="B82" i="4"/>
  <c r="AH90" i="4"/>
  <c r="AH89" i="4"/>
  <c r="V18" i="1"/>
  <c r="C82" i="4" l="1"/>
  <c r="D176" i="4"/>
  <c r="F176" i="4"/>
  <c r="G176" i="4"/>
  <c r="H176" i="4"/>
  <c r="E176" i="4"/>
  <c r="J176" i="4"/>
  <c r="K176" i="4"/>
  <c r="L176" i="4"/>
  <c r="I176" i="4"/>
  <c r="D137" i="4" l="1"/>
  <c r="K191" i="21" l="1"/>
  <c r="J191" i="21"/>
  <c r="I191" i="21"/>
  <c r="H191" i="21"/>
  <c r="G191" i="21"/>
  <c r="F191" i="21"/>
  <c r="E191" i="21"/>
  <c r="D191" i="21"/>
  <c r="K185" i="21"/>
  <c r="J185" i="21"/>
  <c r="I185" i="21"/>
  <c r="H185" i="21"/>
  <c r="G185" i="21"/>
  <c r="F185" i="21"/>
  <c r="E185" i="21"/>
  <c r="D185" i="21"/>
  <c r="D132" i="21" l="1"/>
  <c r="E132" i="21" s="1" a="1"/>
  <c r="D134" i="21"/>
  <c r="I176" i="21"/>
  <c r="I177" i="21"/>
  <c r="D176" i="21"/>
  <c r="D177" i="21"/>
  <c r="J176" i="21"/>
  <c r="J177" i="21"/>
  <c r="E177" i="21"/>
  <c r="E176" i="21"/>
  <c r="K177" i="21"/>
  <c r="K176" i="21"/>
  <c r="F177" i="21"/>
  <c r="F176" i="21"/>
  <c r="G177" i="21"/>
  <c r="G176" i="21"/>
  <c r="H177" i="21"/>
  <c r="H176" i="21"/>
  <c r="D133" i="21"/>
  <c r="H175" i="21"/>
  <c r="G175" i="21"/>
  <c r="I175" i="21"/>
  <c r="F175" i="21"/>
  <c r="J175" i="21"/>
  <c r="D175" i="21"/>
  <c r="K175" i="21"/>
  <c r="E175" i="21"/>
  <c r="G52" i="4" a="1"/>
  <c r="AH88" i="4"/>
  <c r="Z122" i="4"/>
  <c r="Z120" i="4"/>
  <c r="Z118" i="4"/>
  <c r="Z116" i="4"/>
  <c r="Z114" i="4"/>
  <c r="Z112" i="4"/>
  <c r="Z110" i="4"/>
  <c r="Z108" i="4"/>
  <c r="Z106" i="4"/>
  <c r="Z104" i="4"/>
  <c r="Z102" i="4"/>
  <c r="Z101" i="4"/>
  <c r="Z96" i="4"/>
  <c r="Z88" i="4"/>
  <c r="Z87" i="4"/>
  <c r="Z73" i="4"/>
  <c r="V73" i="4"/>
  <c r="R73" i="4"/>
  <c r="Z71" i="4"/>
  <c r="V71" i="4"/>
  <c r="Z69" i="4"/>
  <c r="V69" i="4"/>
  <c r="R69" i="4"/>
  <c r="Z67" i="4"/>
  <c r="V67" i="4"/>
  <c r="Z65" i="4"/>
  <c r="V65" i="4"/>
  <c r="R64" i="4"/>
  <c r="Z63" i="4"/>
  <c r="V63" i="4"/>
  <c r="Z61" i="4"/>
  <c r="V61" i="4"/>
  <c r="R60" i="4"/>
  <c r="Z59" i="4"/>
  <c r="V59" i="4"/>
  <c r="Z57" i="4"/>
  <c r="V57" i="4"/>
  <c r="Z55" i="4"/>
  <c r="V55" i="4"/>
  <c r="Z53" i="4"/>
  <c r="V53" i="4"/>
  <c r="Z52" i="4"/>
  <c r="V52" i="4"/>
  <c r="Z47" i="4"/>
  <c r="V47" i="4"/>
  <c r="Z39" i="4"/>
  <c r="V39" i="4"/>
  <c r="Z38" i="4"/>
  <c r="Z37" i="4"/>
  <c r="V37" i="4"/>
  <c r="B61" i="21" a="1"/>
  <c r="M39" i="21" a="1"/>
  <c r="G70" i="4" a="1"/>
  <c r="G69" i="4" a="1"/>
  <c r="G68" i="4" a="1"/>
  <c r="G67" i="4" a="1"/>
  <c r="G66" i="4" a="1"/>
  <c r="G65" i="4" a="1"/>
  <c r="B61" i="4" a="1"/>
  <c r="M78" i="21" a="1"/>
  <c r="M63" i="21" a="1"/>
  <c r="M62" i="21" a="1"/>
  <c r="M61" i="21" a="1"/>
  <c r="M59" i="21" a="1"/>
  <c r="M58" i="21" a="1"/>
  <c r="G63" i="4" a="1"/>
  <c r="G60" i="4" a="1"/>
  <c r="G56" i="4" a="1"/>
  <c r="Z93" i="4"/>
  <c r="Z92" i="4"/>
  <c r="Z44" i="4"/>
  <c r="V44" i="4"/>
  <c r="Z43" i="4"/>
  <c r="V43" i="4"/>
  <c r="M40" i="21" a="1"/>
  <c r="R56" i="4"/>
  <c r="R55" i="4"/>
  <c r="R40" i="4" a="1"/>
  <c r="G71" i="4" a="1"/>
  <c r="G49" i="4" a="1"/>
  <c r="Z123" i="4"/>
  <c r="Z121" i="4"/>
  <c r="Z119" i="4"/>
  <c r="Z117" i="4"/>
  <c r="Z115" i="4"/>
  <c r="Z113" i="4"/>
  <c r="Z111" i="4"/>
  <c r="Z109" i="4"/>
  <c r="Z107" i="4"/>
  <c r="Z105" i="4"/>
  <c r="Z103" i="4"/>
  <c r="Z100" i="4"/>
  <c r="Z99" i="4"/>
  <c r="Z98" i="4"/>
  <c r="Z97" i="4"/>
  <c r="Z95" i="4"/>
  <c r="Z94" i="4"/>
  <c r="R76" i="4"/>
  <c r="R75" i="4"/>
  <c r="Z74" i="4"/>
  <c r="V74" i="4"/>
  <c r="R74" i="4"/>
  <c r="Z72" i="4"/>
  <c r="V72" i="4"/>
  <c r="R72" i="4"/>
  <c r="R71" i="4"/>
  <c r="Z70" i="4"/>
  <c r="V70" i="4"/>
  <c r="R70" i="4"/>
  <c r="Z68" i="4"/>
  <c r="V68" i="4"/>
  <c r="R68" i="4"/>
  <c r="R67" i="4"/>
  <c r="Z66" i="4"/>
  <c r="V66" i="4"/>
  <c r="R66" i="4"/>
  <c r="R65" i="4"/>
  <c r="Z64" i="4"/>
  <c r="V64" i="4"/>
  <c r="R63" i="4"/>
  <c r="Z62" i="4"/>
  <c r="V62" i="4"/>
  <c r="R61" i="4"/>
  <c r="Z60" i="4"/>
  <c r="V60" i="4"/>
  <c r="R59" i="4"/>
  <c r="Z58" i="4"/>
  <c r="V58" i="4"/>
  <c r="R58" i="4"/>
  <c r="R57" i="4"/>
  <c r="Z56" i="4"/>
  <c r="V56" i="4"/>
  <c r="Z54" i="4"/>
  <c r="V54" i="4"/>
  <c r="Z51" i="4"/>
  <c r="V51" i="4"/>
  <c r="Z50" i="4"/>
  <c r="V50" i="4"/>
  <c r="Z49" i="4"/>
  <c r="V49" i="4"/>
  <c r="Z48" i="4"/>
  <c r="V48" i="4"/>
  <c r="Z46" i="4"/>
  <c r="V46" i="4"/>
  <c r="Z45" i="4"/>
  <c r="V45" i="4"/>
  <c r="R62" i="4"/>
  <c r="AH86" i="4" l="1"/>
  <c r="AH80" i="4"/>
  <c r="B44" i="21" l="1"/>
  <c r="B129" i="21"/>
  <c r="B30" i="21" a="1"/>
  <c r="Q177" i="21"/>
  <c r="E143" i="4" a="1"/>
  <c r="A75" i="21" a="1"/>
  <c r="A72" i="21" a="1"/>
  <c r="Z3" i="21" a="1"/>
  <c r="E151" i="21" a="1"/>
  <c r="E150" i="21" a="1"/>
  <c r="B50" i="21" a="1"/>
  <c r="D151" i="21"/>
  <c r="B151" i="21"/>
  <c r="D150" i="21"/>
  <c r="B150" i="21"/>
  <c r="E143" i="21"/>
  <c r="B143" i="21"/>
  <c r="D143" i="21"/>
  <c r="D136" i="21" l="1"/>
  <c r="B136" i="21"/>
  <c r="D135" i="21"/>
  <c r="E135" i="21" s="1"/>
  <c r="B135" i="21"/>
  <c r="G90" i="21"/>
  <c r="G89" i="21"/>
  <c r="B66" i="21" a="1"/>
  <c r="B60" i="21" a="1"/>
  <c r="B59" i="21" a="1"/>
  <c r="T31" i="2" l="1" a="1"/>
  <c r="T12" i="2"/>
  <c r="O187" i="21"/>
  <c r="O186" i="21"/>
  <c r="R182" i="21"/>
  <c r="Q182" i="21"/>
  <c r="P182" i="21"/>
  <c r="O182" i="21"/>
  <c r="R181" i="21"/>
  <c r="Q181" i="21"/>
  <c r="P181" i="21"/>
  <c r="O181" i="21"/>
  <c r="R177" i="21"/>
  <c r="P177" i="21"/>
  <c r="O177" i="21"/>
  <c r="R176" i="21"/>
  <c r="Q176" i="21"/>
  <c r="Q175" i="21" s="1"/>
  <c r="P176" i="21"/>
  <c r="O176" i="21"/>
  <c r="E142" i="21"/>
  <c r="D142" i="21"/>
  <c r="B142" i="21"/>
  <c r="E141" i="21"/>
  <c r="D141" i="21"/>
  <c r="B141" i="21"/>
  <c r="E140" i="21" a="1"/>
  <c r="D140" i="21"/>
  <c r="B140" i="21"/>
  <c r="D138" i="21"/>
  <c r="E138" i="21" s="1"/>
  <c r="B134" i="21"/>
  <c r="B132" i="21"/>
  <c r="B130" i="21"/>
  <c r="Z124" i="21"/>
  <c r="I124" i="21"/>
  <c r="I123" i="21"/>
  <c r="I122" i="21"/>
  <c r="I121" i="21"/>
  <c r="I120" i="21"/>
  <c r="I119" i="21"/>
  <c r="I118" i="21"/>
  <c r="I117" i="21"/>
  <c r="I116" i="21"/>
  <c r="I115" i="21"/>
  <c r="I114" i="21"/>
  <c r="I113" i="21"/>
  <c r="I112" i="21"/>
  <c r="I111" i="21"/>
  <c r="I110" i="21"/>
  <c r="I109" i="21"/>
  <c r="I108" i="21"/>
  <c r="I107" i="21"/>
  <c r="I106" i="21"/>
  <c r="I105" i="21"/>
  <c r="I104" i="21"/>
  <c r="I103" i="21"/>
  <c r="I102" i="21"/>
  <c r="I101" i="21"/>
  <c r="I100" i="21"/>
  <c r="I99" i="21"/>
  <c r="I98" i="21"/>
  <c r="I97" i="21"/>
  <c r="I96" i="21"/>
  <c r="I95" i="21"/>
  <c r="I94" i="21"/>
  <c r="I93" i="21"/>
  <c r="I92" i="21"/>
  <c r="G91" i="21"/>
  <c r="I91" i="21"/>
  <c r="I90" i="21"/>
  <c r="I89" i="21"/>
  <c r="I88" i="21"/>
  <c r="I87" i="21"/>
  <c r="I86" i="21"/>
  <c r="I85" i="21"/>
  <c r="I84" i="21"/>
  <c r="I83" i="21"/>
  <c r="I82" i="21"/>
  <c r="M76" i="21"/>
  <c r="V75" i="21"/>
  <c r="M75" i="21"/>
  <c r="M74" i="21"/>
  <c r="A74" i="21"/>
  <c r="M73" i="21" a="1"/>
  <c r="A73" i="21" a="1"/>
  <c r="M72" i="21"/>
  <c r="M71" i="21" a="1"/>
  <c r="A71" i="21" a="1"/>
  <c r="A70" i="21" a="1"/>
  <c r="M69" i="21" a="1"/>
  <c r="A69" i="21" a="1"/>
  <c r="M68" i="21" a="1"/>
  <c r="M67" i="21" a="1"/>
  <c r="M66" i="21" a="1"/>
  <c r="M64" i="21" a="1"/>
  <c r="M57" i="21" a="1"/>
  <c r="M56" i="21" a="1"/>
  <c r="M55" i="21" a="1"/>
  <c r="M54" i="21" a="1"/>
  <c r="M53" i="21" a="1"/>
  <c r="D51" i="21" a="1"/>
  <c r="AH50" i="21"/>
  <c r="M50" i="21" a="1"/>
  <c r="AH49" i="21"/>
  <c r="M49" i="21"/>
  <c r="AH48" i="21"/>
  <c r="M48" i="21"/>
  <c r="AH47" i="21"/>
  <c r="M47" i="21" a="1"/>
  <c r="M46" i="21" a="1"/>
  <c r="AH45" i="21" a="1"/>
  <c r="M45" i="21" a="1"/>
  <c r="AH43" i="21" a="1"/>
  <c r="M43" i="21"/>
  <c r="M42" i="21" a="1"/>
  <c r="M41" i="21" a="1"/>
  <c r="AH39" i="21"/>
  <c r="M38" i="21" a="1"/>
  <c r="X2" i="21" a="1"/>
  <c r="T35" i="2"/>
  <c r="S35" i="2" s="1"/>
  <c r="X1" i="21" a="1"/>
  <c r="G91" i="4"/>
  <c r="G90" i="4"/>
  <c r="B67" i="21" l="1"/>
  <c r="O185" i="21"/>
  <c r="O175" i="21"/>
  <c r="P180" i="21"/>
  <c r="R175" i="21"/>
  <c r="O180" i="21"/>
  <c r="P175" i="21"/>
  <c r="R180" i="21"/>
  <c r="Q180" i="21"/>
  <c r="Q35" i="2"/>
  <c r="N82" i="21" a="1"/>
  <c r="T33" i="2" l="1"/>
  <c r="T26" i="2"/>
  <c r="T14" i="2"/>
  <c r="T29" i="2"/>
  <c r="T19" i="2"/>
  <c r="T30" i="2"/>
  <c r="T24" i="2"/>
  <c r="T25" i="2"/>
  <c r="S33" i="2" l="1"/>
  <c r="Q41" i="15" a="1"/>
  <c r="S35" i="15"/>
  <c r="S33" i="15"/>
  <c r="T37" i="15" a="1"/>
  <c r="T31" i="15" a="1"/>
  <c r="T27" i="15"/>
  <c r="T21" i="15"/>
  <c r="T20" i="15"/>
  <c r="T18" i="15"/>
  <c r="T16" i="15"/>
  <c r="T15" i="15"/>
  <c r="T13" i="15"/>
  <c r="T12" i="15"/>
  <c r="S41" i="8" a="1"/>
  <c r="V37" i="8"/>
  <c r="V32" i="8"/>
  <c r="V31" i="8" a="1"/>
  <c r="V27" i="8"/>
  <c r="V22" i="8"/>
  <c r="V21" i="8"/>
  <c r="V18" i="8"/>
  <c r="V16" i="8"/>
  <c r="V15" i="8"/>
  <c r="V13" i="8"/>
  <c r="V12" i="8"/>
  <c r="V36" i="8" l="1"/>
  <c r="U35" i="8" s="1"/>
  <c r="T36" i="15"/>
  <c r="T40" i="15" s="1"/>
  <c r="O187" i="4"/>
  <c r="O186" i="4"/>
  <c r="T27" i="2"/>
  <c r="T21" i="2"/>
  <c r="T20" i="2"/>
  <c r="T18" i="2"/>
  <c r="T16" i="2"/>
  <c r="T15" i="2"/>
  <c r="V31" i="1" a="1"/>
  <c r="V12" i="1"/>
  <c r="R182" i="4"/>
  <c r="Q182" i="4"/>
  <c r="P182" i="4"/>
  <c r="R177" i="4"/>
  <c r="P177" i="4"/>
  <c r="O177" i="4"/>
  <c r="R181" i="4"/>
  <c r="Q181" i="4"/>
  <c r="P181" i="4"/>
  <c r="R176" i="4"/>
  <c r="Q176" i="4"/>
  <c r="P176" i="4"/>
  <c r="O176" i="4"/>
  <c r="O181" i="4"/>
  <c r="O182" i="4"/>
  <c r="Q177" i="4"/>
  <c r="G89" i="4"/>
  <c r="D143" i="4"/>
  <c r="B143" i="4"/>
  <c r="E139" i="4" a="1"/>
  <c r="D139" i="4"/>
  <c r="B139" i="4"/>
  <c r="V27" i="1"/>
  <c r="T36" i="2" l="1"/>
  <c r="V40" i="8"/>
  <c r="O175" i="4"/>
  <c r="T25" i="15" s="1"/>
  <c r="G94" i="21"/>
  <c r="G82" i="21"/>
  <c r="Q180" i="4"/>
  <c r="R180" i="4"/>
  <c r="P180" i="4"/>
  <c r="O185" i="4"/>
  <c r="P175" i="4"/>
  <c r="O180" i="4"/>
  <c r="Q175" i="4"/>
  <c r="R175" i="4"/>
  <c r="L120" i="21" l="1"/>
  <c r="M111" i="21"/>
  <c r="M86" i="21"/>
  <c r="L113" i="21"/>
  <c r="L87" i="21"/>
  <c r="M98" i="21"/>
  <c r="M85" i="21"/>
  <c r="M114" i="21"/>
  <c r="L109" i="21"/>
  <c r="L108" i="21"/>
  <c r="M97" i="21"/>
  <c r="M99" i="21"/>
  <c r="L123" i="21"/>
  <c r="M104" i="21"/>
  <c r="L84" i="21"/>
  <c r="L97" i="21"/>
  <c r="L99" i="21"/>
  <c r="M121" i="21"/>
  <c r="L104" i="21"/>
  <c r="L94" i="21"/>
  <c r="L119" i="21"/>
  <c r="M117" i="21"/>
  <c r="M105" i="21"/>
  <c r="L124" i="21"/>
  <c r="L107" i="21"/>
  <c r="M84" i="21"/>
  <c r="L122" i="21"/>
  <c r="L121" i="21"/>
  <c r="M102" i="21"/>
  <c r="L115" i="21"/>
  <c r="M107" i="21"/>
  <c r="M83" i="21"/>
  <c r="L112" i="21"/>
  <c r="M103" i="21"/>
  <c r="L110" i="21"/>
  <c r="M120" i="21"/>
  <c r="M110" i="21"/>
  <c r="L106" i="21"/>
  <c r="M116" i="21"/>
  <c r="L114" i="21"/>
  <c r="L101" i="21"/>
  <c r="M124" i="21"/>
  <c r="M91" i="21"/>
  <c r="L82" i="21"/>
  <c r="M95" i="21"/>
  <c r="M94" i="21"/>
  <c r="M92" i="21"/>
  <c r="L93" i="21"/>
  <c r="M112" i="21"/>
  <c r="M90" i="21"/>
  <c r="L98" i="21"/>
  <c r="M89" i="21"/>
  <c r="M113" i="21"/>
  <c r="L91" i="21"/>
  <c r="L117" i="21"/>
  <c r="M88" i="21"/>
  <c r="L96" i="21"/>
  <c r="M87" i="21"/>
  <c r="L86" i="21"/>
  <c r="L111" i="21"/>
  <c r="L118" i="21"/>
  <c r="M109" i="21"/>
  <c r="L116" i="21"/>
  <c r="L89" i="21"/>
  <c r="L85" i="21"/>
  <c r="L100" i="21"/>
  <c r="M123" i="21"/>
  <c r="M82" i="21"/>
  <c r="M119" i="21"/>
  <c r="L90" i="21"/>
  <c r="L88" i="21"/>
  <c r="M118" i="21"/>
  <c r="M122" i="21"/>
  <c r="L103" i="21"/>
  <c r="L102" i="21"/>
  <c r="M101" i="21"/>
  <c r="L92" i="21"/>
  <c r="M96" i="21"/>
  <c r="M108" i="21"/>
  <c r="M106" i="21"/>
  <c r="M115" i="21"/>
  <c r="L83" i="21"/>
  <c r="L95" i="21"/>
  <c r="M93" i="21"/>
  <c r="M100" i="21"/>
  <c r="L105" i="21"/>
  <c r="T29" i="15"/>
  <c r="T19" i="15"/>
  <c r="T14" i="15"/>
  <c r="T26" i="15"/>
  <c r="T30" i="15"/>
  <c r="T24" i="15"/>
  <c r="E150" i="4" l="1" a="1"/>
  <c r="E134" i="4"/>
  <c r="E133" i="4" a="1"/>
  <c r="E132" i="4" a="1"/>
  <c r="T35" i="15" l="1"/>
  <c r="V35" i="8"/>
  <c r="S35" i="1"/>
  <c r="V35" i="1"/>
  <c r="U35" i="1" s="1"/>
  <c r="R170" i="4"/>
  <c r="R169" i="4"/>
  <c r="Q170" i="4"/>
  <c r="Q169" i="4"/>
  <c r="P170" i="4"/>
  <c r="P169" i="4"/>
  <c r="V22" i="1"/>
  <c r="V21" i="1"/>
  <c r="V16" i="1"/>
  <c r="V15" i="1"/>
  <c r="O169" i="4"/>
  <c r="O170" i="4"/>
  <c r="R164" i="4"/>
  <c r="Q164" i="4"/>
  <c r="P164" i="4"/>
  <c r="O164" i="4"/>
  <c r="R165" i="4"/>
  <c r="Q165" i="4"/>
  <c r="P165" i="4"/>
  <c r="O165" i="4"/>
  <c r="P168" i="4" l="1"/>
  <c r="Q163" i="4"/>
  <c r="Q168" i="4"/>
  <c r="O163" i="4"/>
  <c r="P163" i="4"/>
  <c r="R163" i="4"/>
  <c r="O168" i="4"/>
  <c r="R168" i="4"/>
  <c r="Q41" i="2" l="1" a="1"/>
  <c r="V20" i="8"/>
  <c r="V20" i="1"/>
  <c r="V23" i="8"/>
  <c r="V14" i="8"/>
  <c r="V30" i="8"/>
  <c r="V24" i="8"/>
  <c r="V19" i="8"/>
  <c r="V26" i="8"/>
  <c r="V25" i="8"/>
  <c r="V30" i="1"/>
  <c r="V14" i="1"/>
  <c r="V19" i="1"/>
  <c r="V25" i="1"/>
  <c r="V23" i="1"/>
  <c r="V24" i="1"/>
  <c r="V26" i="1"/>
  <c r="T40" i="2" l="1"/>
  <c r="AH60" i="4"/>
  <c r="AH57" i="4"/>
  <c r="Z91" i="4"/>
  <c r="V91" i="4"/>
  <c r="Z90" i="4"/>
  <c r="V90" i="4"/>
  <c r="Z89" i="4"/>
  <c r="V89" i="4"/>
  <c r="V87" i="4"/>
  <c r="Z86" i="4"/>
  <c r="V86" i="4"/>
  <c r="R79" i="4"/>
  <c r="R78" i="4"/>
  <c r="G75" i="4"/>
  <c r="AH61" i="4"/>
  <c r="AH59" i="4"/>
  <c r="AH58" i="4"/>
  <c r="Z42" i="4"/>
  <c r="V42" i="4"/>
  <c r="Z41" i="4"/>
  <c r="V41" i="4"/>
  <c r="Z40" i="4"/>
  <c r="V40" i="4"/>
  <c r="V38" i="4"/>
  <c r="AH42" i="4" a="1"/>
  <c r="Z124" i="4"/>
  <c r="E151" i="4" a="1"/>
  <c r="D151" i="4"/>
  <c r="B151" i="4"/>
  <c r="D150" i="4"/>
  <c r="B150" i="4"/>
  <c r="D136" i="4"/>
  <c r="B136" i="4"/>
  <c r="D135" i="4"/>
  <c r="E135" i="4" s="1"/>
  <c r="B135" i="4"/>
  <c r="D134" i="4"/>
  <c r="B134" i="4"/>
  <c r="D133" i="4"/>
  <c r="B133" i="4"/>
  <c r="D132" i="4"/>
  <c r="B132" i="4"/>
  <c r="D131" i="4"/>
  <c r="B131" i="4"/>
  <c r="E130" i="4" a="1"/>
  <c r="D130" i="4"/>
  <c r="B130" i="4"/>
  <c r="B129" i="4"/>
  <c r="A75" i="4" a="1"/>
  <c r="G74" i="4" a="1"/>
  <c r="A74" i="4"/>
  <c r="G73" i="4" a="1"/>
  <c r="A73" i="4" a="1"/>
  <c r="G72" i="4" a="1"/>
  <c r="A72" i="4" a="1"/>
  <c r="A71" i="4" a="1"/>
  <c r="A70" i="4" a="1"/>
  <c r="A69" i="4" a="1"/>
  <c r="B66" i="4" a="1"/>
  <c r="G64" i="4" a="1"/>
  <c r="B63" i="4" a="1"/>
  <c r="G62" i="4" a="1"/>
  <c r="B62" i="4" a="1"/>
  <c r="G61" i="4" a="1"/>
  <c r="B60" i="4" a="1"/>
  <c r="G59" i="4" a="1"/>
  <c r="B59" i="4" a="1"/>
  <c r="G58" i="4" a="1"/>
  <c r="B58" i="4" a="1"/>
  <c r="G57" i="4" a="1"/>
  <c r="B57" i="4" a="1"/>
  <c r="B56" i="4"/>
  <c r="G55" i="4" a="1"/>
  <c r="B55" i="4" a="1"/>
  <c r="R54" i="4"/>
  <c r="G54" i="4" a="1"/>
  <c r="B54" i="4" a="1"/>
  <c r="R53" i="4"/>
  <c r="G53" i="4" a="1"/>
  <c r="B53" i="4" a="1"/>
  <c r="R52" i="4"/>
  <c r="B52" i="4" a="1"/>
  <c r="R51" i="4"/>
  <c r="G51" i="4" a="1"/>
  <c r="D51" i="4" a="1"/>
  <c r="R50" i="4"/>
  <c r="G50" i="4" a="1"/>
  <c r="B50" i="4" a="1"/>
  <c r="R49" i="4" a="1"/>
  <c r="R48" i="4" a="1"/>
  <c r="G48" i="4" a="1"/>
  <c r="B48" i="4" a="1"/>
  <c r="R47" i="4" a="1"/>
  <c r="G47" i="4" a="1"/>
  <c r="B47" i="4"/>
  <c r="R46" i="4" a="1"/>
  <c r="G46" i="4" a="1"/>
  <c r="B46" i="4" a="1"/>
  <c r="R45" i="4" a="1"/>
  <c r="G45" i="4" a="1"/>
  <c r="B45" i="4" a="1"/>
  <c r="AH44" i="4" a="1"/>
  <c r="R44" i="4" a="1"/>
  <c r="G44" i="4"/>
  <c r="R43" i="4"/>
  <c r="G43" i="4"/>
  <c r="B43" i="4" a="1"/>
  <c r="R42" i="4"/>
  <c r="G42" i="4" a="1"/>
  <c r="B42" i="4" a="1"/>
  <c r="R41" i="4" a="1"/>
  <c r="G41" i="4" a="1"/>
  <c r="B41" i="4" a="1"/>
  <c r="G40" i="4"/>
  <c r="B40" i="4" a="1"/>
  <c r="R39" i="4" a="1"/>
  <c r="G39" i="4" a="1"/>
  <c r="B39" i="4"/>
  <c r="R38" i="4" a="1"/>
  <c r="G38" i="4" a="1"/>
  <c r="B30" i="4" a="1"/>
  <c r="X2" i="4" a="1"/>
  <c r="X1" i="4" a="1"/>
  <c r="V13" i="1"/>
  <c r="I124" i="4" l="1"/>
  <c r="I123" i="4"/>
  <c r="I122" i="4"/>
  <c r="I121" i="4"/>
  <c r="I120" i="4"/>
  <c r="I119" i="4"/>
  <c r="I117" i="4"/>
  <c r="I115" i="4"/>
  <c r="I114" i="4"/>
  <c r="I111" i="4"/>
  <c r="I110" i="4"/>
  <c r="I109" i="4"/>
  <c r="I107" i="4"/>
  <c r="I106" i="4"/>
  <c r="I105" i="4"/>
  <c r="I104" i="4"/>
  <c r="I103" i="4"/>
  <c r="I100" i="4"/>
  <c r="I99" i="4"/>
  <c r="I98" i="4"/>
  <c r="I97" i="4"/>
  <c r="I96" i="4"/>
  <c r="I95" i="4"/>
  <c r="I94" i="4"/>
  <c r="I93" i="4"/>
  <c r="I92" i="4"/>
  <c r="I91" i="4"/>
  <c r="I90" i="4"/>
  <c r="I89" i="4"/>
  <c r="I88" i="4"/>
  <c r="I87" i="4"/>
  <c r="I101" i="4"/>
  <c r="I116" i="4"/>
  <c r="I108" i="4"/>
  <c r="I84" i="4"/>
  <c r="I83" i="4"/>
  <c r="I82" i="4"/>
  <c r="I85" i="4"/>
  <c r="I86" i="4"/>
  <c r="I102" i="4"/>
  <c r="I112" i="4"/>
  <c r="I113" i="4"/>
  <c r="I118" i="4"/>
  <c r="N82" i="4" l="1" a="1"/>
  <c r="B64" i="4" l="1" a="1"/>
  <c r="M41" i="39" l="1" a="1"/>
  <c r="N130" i="4" l="1"/>
  <c r="N132" i="4"/>
  <c r="S41" i="1" l="1" a="1"/>
  <c r="G85" i="21" l="1"/>
  <c r="S47" i="2"/>
  <c r="E147" i="21" l="1"/>
  <c r="I108" i="38"/>
  <c r="I109" i="38" s="1"/>
  <c r="N111" i="38" s="1"/>
  <c r="L113" i="38" s="1"/>
  <c r="K113" i="38" s="1"/>
  <c r="P40" i="39" s="1"/>
  <c r="I106" i="38"/>
  <c r="I107" i="38" s="1"/>
  <c r="N109" i="38" s="1"/>
  <c r="E147" i="4"/>
  <c r="E152" i="21"/>
  <c r="O47" i="39" l="1"/>
  <c r="G64" i="38"/>
  <c r="L134" i="4"/>
  <c r="K134" i="4" s="1"/>
  <c r="T39" i="15"/>
  <c r="V39" i="8"/>
  <c r="V39" i="1"/>
  <c r="E152" i="4"/>
  <c r="B65" i="4" s="1" a="1"/>
  <c r="B67" i="4" s="1"/>
  <c r="T39" i="2"/>
  <c r="L126" i="21" a="1"/>
  <c r="M126" i="21" a="1"/>
  <c r="V38" i="8" l="1"/>
  <c r="V38" i="1"/>
  <c r="T38" i="15"/>
  <c r="T33" i="15"/>
  <c r="V33" i="1"/>
  <c r="V36" i="1" s="1"/>
  <c r="V40" i="1" s="1"/>
  <c r="V33" i="8"/>
  <c r="U33" i="8" s="1"/>
  <c r="G82" i="4"/>
  <c r="G94" i="4"/>
  <c r="M127" i="21"/>
  <c r="M128" i="21" s="1"/>
  <c r="M129" i="21"/>
  <c r="M130" i="21" s="1"/>
  <c r="L127" i="21"/>
  <c r="L128" i="21" s="1"/>
  <c r="N130" i="21" s="1"/>
  <c r="L129" i="21"/>
  <c r="L130" i="21" s="1"/>
  <c r="N132" i="21" s="1"/>
  <c r="L134" i="21" s="1"/>
  <c r="K134" i="21" s="1"/>
  <c r="G85" i="4" l="1"/>
  <c r="U47" i="1"/>
  <c r="T38" i="2"/>
  <c r="K113" i="4"/>
  <c r="J113" i="4"/>
  <c r="K101" i="4"/>
  <c r="J92" i="4"/>
  <c r="K117" i="4"/>
  <c r="K89" i="4"/>
  <c r="K108" i="4"/>
  <c r="K110" i="4"/>
  <c r="J86" i="4"/>
  <c r="K105" i="4"/>
  <c r="J119" i="4"/>
  <c r="J88" i="4"/>
  <c r="J85" i="4"/>
  <c r="K119" i="4"/>
  <c r="J112" i="4"/>
  <c r="K107" i="4"/>
  <c r="J114" i="4"/>
  <c r="K91" i="4"/>
  <c r="J110" i="4"/>
  <c r="J87" i="4"/>
  <c r="K120" i="4"/>
  <c r="K109" i="4"/>
  <c r="J82" i="4"/>
  <c r="J123" i="4"/>
  <c r="J100" i="4"/>
  <c r="J115" i="4"/>
  <c r="K85" i="4"/>
  <c r="K116" i="4"/>
  <c r="J108" i="4"/>
  <c r="K94" i="4"/>
  <c r="J94" i="4"/>
  <c r="J122" i="4"/>
  <c r="K97" i="4"/>
  <c r="K112" i="4"/>
  <c r="K82" i="4"/>
  <c r="J99" i="4"/>
  <c r="J111" i="4"/>
  <c r="J118" i="4"/>
  <c r="J91" i="4"/>
  <c r="K122" i="4"/>
  <c r="J109" i="4"/>
  <c r="K114" i="4"/>
  <c r="J90" i="4"/>
  <c r="J121" i="4"/>
  <c r="J93" i="4"/>
  <c r="K84" i="4"/>
  <c r="J97" i="4"/>
  <c r="K90" i="4"/>
  <c r="K98" i="4"/>
  <c r="J124" i="4"/>
  <c r="J116" i="4"/>
  <c r="K123" i="4"/>
  <c r="K95" i="4"/>
  <c r="K92" i="4"/>
  <c r="K88" i="4"/>
  <c r="J117" i="4"/>
  <c r="K102" i="4"/>
  <c r="J105" i="4"/>
  <c r="K103" i="4"/>
  <c r="J83" i="4"/>
  <c r="K86" i="4"/>
  <c r="J84" i="4"/>
  <c r="K99" i="4"/>
  <c r="K96" i="4"/>
  <c r="J98" i="4"/>
  <c r="J120" i="4"/>
  <c r="J101" i="4"/>
  <c r="J106" i="4"/>
  <c r="K93" i="4"/>
  <c r="K121" i="4"/>
  <c r="K124" i="4"/>
  <c r="K106" i="4"/>
  <c r="J104" i="4"/>
  <c r="J89" i="4"/>
  <c r="K118" i="4"/>
  <c r="J103" i="4"/>
  <c r="J95" i="4"/>
  <c r="K104" i="4"/>
  <c r="K87" i="4"/>
  <c r="K115" i="4"/>
  <c r="K83" i="4"/>
  <c r="J107" i="4"/>
  <c r="K111" i="4"/>
  <c r="J102" i="4"/>
  <c r="J96" i="4"/>
  <c r="K100" i="4"/>
  <c r="K126" i="4" l="1" a="1"/>
  <c r="J126" i="4" a="1"/>
  <c r="J129" i="4" l="1"/>
  <c r="J130" i="4" s="1"/>
  <c r="J127" i="4"/>
  <c r="J128" i="4" s="1"/>
  <c r="K129" i="4"/>
  <c r="K130" i="4" s="1"/>
  <c r="K127" i="4"/>
  <c r="K128" i="4"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<sst xmlns="http://schemas.openxmlformats.org/spreadsheetml/2006/main" count="3606" uniqueCount="943">
  <si>
    <t>LoanStream Mortgage</t>
  </si>
  <si>
    <t>19000 MacArthur Blvd, Suite 200</t>
  </si>
  <si>
    <t>Irvine, CA 92612</t>
  </si>
  <si>
    <t>Effective Date:</t>
  </si>
  <si>
    <t>Base Price</t>
  </si>
  <si>
    <t>NonQM LoanStream</t>
  </si>
  <si>
    <t>NonQM Price Calculator</t>
  </si>
  <si>
    <t>30 Day Lock</t>
  </si>
  <si>
    <t>Loan Level Pricing Adjustments</t>
  </si>
  <si>
    <t>Inputs</t>
  </si>
  <si>
    <t>Rate</t>
  </si>
  <si>
    <t>Price</t>
  </si>
  <si>
    <t>FICO/LTV</t>
  </si>
  <si>
    <t>&lt;=50</t>
  </si>
  <si>
    <t>50.01-55</t>
  </si>
  <si>
    <t>55.01-60</t>
  </si>
  <si>
    <t>60.01-65</t>
  </si>
  <si>
    <t>65.01-70</t>
  </si>
  <si>
    <t>70.01-75</t>
  </si>
  <si>
    <t>75.01-80</t>
  </si>
  <si>
    <t>80.01-85</t>
  </si>
  <si>
    <t>85.01-90</t>
  </si>
  <si>
    <t xml:space="preserve"> Interest Rate →</t>
  </si>
  <si>
    <t>780+</t>
  </si>
  <si>
    <t>LTV Range</t>
  </si>
  <si>
    <t>760-779</t>
  </si>
  <si>
    <t>FICO Range</t>
  </si>
  <si>
    <t>740-759</t>
  </si>
  <si>
    <t>Program</t>
  </si>
  <si>
    <t>Core</t>
  </si>
  <si>
    <t>720-739</t>
  </si>
  <si>
    <t>Reserves</t>
  </si>
  <si>
    <t>Choose a Selection</t>
  </si>
  <si>
    <t>700-719</t>
  </si>
  <si>
    <t>Payment History</t>
  </si>
  <si>
    <t>0x30x12</t>
  </si>
  <si>
    <t>680-699</t>
  </si>
  <si>
    <t>Credit Events</t>
  </si>
  <si>
    <t>NONE</t>
  </si>
  <si>
    <t>660-679</t>
  </si>
  <si>
    <t>Doc Type</t>
  </si>
  <si>
    <t>640-659</t>
  </si>
  <si>
    <t>Additional Adjs</t>
  </si>
  <si>
    <t>620-639</t>
  </si>
  <si>
    <t>Citizenships</t>
  </si>
  <si>
    <t>600-619</t>
  </si>
  <si>
    <t>DTI</t>
  </si>
  <si>
    <t>Loan Balance</t>
  </si>
  <si>
    <t>Purpose</t>
  </si>
  <si>
    <t>SELECT</t>
  </si>
  <si>
    <t>Occupancy</t>
  </si>
  <si>
    <t>Property Type</t>
  </si>
  <si>
    <t>Income Doc Types</t>
  </si>
  <si>
    <t>Loan Term</t>
  </si>
  <si>
    <t>30YR Fixed</t>
  </si>
  <si>
    <t>VOE w/ Bank Statement</t>
  </si>
  <si>
    <t>Escrow</t>
  </si>
  <si>
    <t>Escrow Not Waived</t>
  </si>
  <si>
    <t>1099 w/ Bank Statement</t>
  </si>
  <si>
    <t>Prepayment Penalty</t>
  </si>
  <si>
    <t>Asset Utilization</t>
  </si>
  <si>
    <t>NJ - Title Vesting</t>
  </si>
  <si>
    <t>P&amp;L w/ Bank Statement</t>
  </si>
  <si>
    <t>State</t>
  </si>
  <si>
    <t>P&amp;L Only</t>
  </si>
  <si>
    <t>Lock Term</t>
  </si>
  <si>
    <t>30 Day</t>
  </si>
  <si>
    <t>Buydown</t>
  </si>
  <si>
    <t>No</t>
  </si>
  <si>
    <t>Purchase</t>
  </si>
  <si>
    <t>Subordinate Financing</t>
  </si>
  <si>
    <t>Rate Term Refi</t>
  </si>
  <si>
    <t>Possible Eligibility Issue</t>
  </si>
  <si>
    <t>Cash Out Refi</t>
  </si>
  <si>
    <t/>
  </si>
  <si>
    <t>Not Applicable</t>
  </si>
  <si>
    <t>Rate Term Refi FICO &lt; 680</t>
  </si>
  <si>
    <t>Cash Out Refi FICO &lt; 680</t>
  </si>
  <si>
    <t xml:space="preserve">  Total LLPA</t>
  </si>
  <si>
    <t>Loan Amount</t>
  </si>
  <si>
    <t xml:space="preserve">  Gross Rate Sheet Price (Prior to LLPAs)</t>
  </si>
  <si>
    <t>&lt;$150,000</t>
  </si>
  <si>
    <t xml:space="preserve">  Net Price: Rate Sheet - LLPA (Prior to Min/Max YSP)</t>
  </si>
  <si>
    <t>$150,001-$250,000</t>
  </si>
  <si>
    <t xml:space="preserve">  Max YSP</t>
  </si>
  <si>
    <t>$250,001-$1,000,000</t>
  </si>
  <si>
    <t>Final Price  →</t>
  </si>
  <si>
    <t>&gt;$1,000,000</t>
  </si>
  <si>
    <t>&gt;$1,500,000</t>
  </si>
  <si>
    <t>Borrower Paid Comp Only
*YSP allowed up to 102.000, may be paid to borrower on all Loans, or to Broker on Business Purpose Loans only
*YSP &amp; Lender Credit are not Applicable to DSCR 5-8 Unit</t>
  </si>
  <si>
    <t>&gt;$2,000,000</t>
  </si>
  <si>
    <t>&gt;$2,500,000</t>
  </si>
  <si>
    <t>&gt;$3,000,000</t>
  </si>
  <si>
    <t>&gt;$3,500,000</t>
  </si>
  <si>
    <t>&gt;$4,000,000</t>
  </si>
  <si>
    <t>Calculator does not verify eligibility.
Please use in conjunction with product matrix.</t>
  </si>
  <si>
    <t>Occupancy/Property/Units</t>
  </si>
  <si>
    <t>NOO</t>
  </si>
  <si>
    <t>2nd Home</t>
  </si>
  <si>
    <t>NW Condo</t>
  </si>
  <si>
    <t>2 Units</t>
  </si>
  <si>
    <t>3-4 Units</t>
  </si>
  <si>
    <t>LLPA</t>
  </si>
  <si>
    <t>No PPP-States not allowed</t>
  </si>
  <si>
    <t>Max Price</t>
  </si>
  <si>
    <t>Terms</t>
  </si>
  <si>
    <t>Caps</t>
  </si>
  <si>
    <t>45 Day</t>
  </si>
  <si>
    <t>No PPP-States that allow</t>
  </si>
  <si>
    <t>Owner/2nd Home</t>
  </si>
  <si>
    <t>5/6 ARM</t>
  </si>
  <si>
    <t>2/1/5</t>
  </si>
  <si>
    <t>60 Day</t>
  </si>
  <si>
    <t>12 Months PPP*</t>
  </si>
  <si>
    <t>7/6 ARM</t>
  </si>
  <si>
    <t>5/1/5</t>
  </si>
  <si>
    <t>Extension Cost</t>
  </si>
  <si>
    <t>24 Months PPP*</t>
  </si>
  <si>
    <t>80.01-90.00% LTV</t>
  </si>
  <si>
    <t>Floor</t>
  </si>
  <si>
    <t>Margin</t>
  </si>
  <si>
    <t xml:space="preserve"> See Below Extension Cost
All Rates @ 2 bps / day Extension Cost
Current lock extension costs/policies apply to all active locks, regardless of lock date
All 45 day locks are at a 25bp cost and are eligible for up to 15 days of extensions at cost 
All 60 day locks are at a 50bp cost and are not eligible for Lock Extensions</t>
  </si>
  <si>
    <t>36 Months PPP*</t>
  </si>
  <si>
    <t>ITIN/Foreign National</t>
  </si>
  <si>
    <t>Index</t>
  </si>
  <si>
    <t>6 Month SOFR</t>
  </si>
  <si>
    <t>48 Months PPP*</t>
  </si>
  <si>
    <t>Subord Financing</t>
  </si>
  <si>
    <t>Reset</t>
  </si>
  <si>
    <t>6 Month</t>
  </si>
  <si>
    <t>60 Months PPP*</t>
  </si>
  <si>
    <t>No PPP</t>
  </si>
  <si>
    <t>12 Months PPP (5% Fixed)**</t>
  </si>
  <si>
    <t>12 Months PPP</t>
  </si>
  <si>
    <t>24 Months PPP  (5% Fixed)**</t>
  </si>
  <si>
    <t>Floor Price</t>
  </si>
  <si>
    <t>15YR Fixed</t>
  </si>
  <si>
    <t>36 Months PPP  (5% Fixed)**</t>
  </si>
  <si>
    <t>NC Floor Price</t>
  </si>
  <si>
    <t>48 Months PPP  (5% Fixed)**</t>
  </si>
  <si>
    <t>Min Rate</t>
  </si>
  <si>
    <t>40YR Fixed</t>
  </si>
  <si>
    <t>60 Months PPP  (5% Fixed)**</t>
  </si>
  <si>
    <t>5/6 30YR ARM</t>
  </si>
  <si>
    <t>Other</t>
  </si>
  <si>
    <t>5/6 40YR ARM</t>
  </si>
  <si>
    <t>Interest Only 30Yr FIX</t>
  </si>
  <si>
    <t>Full Doc Includes</t>
  </si>
  <si>
    <t>7/6 30YR ARM</t>
  </si>
  <si>
    <t>Interest Only 40Yr or ARM (30&amp;40Yr)</t>
  </si>
  <si>
    <t>Tax Returns</t>
  </si>
  <si>
    <t>7/6 40YR ARM</t>
  </si>
  <si>
    <t>Escrow Waived</t>
  </si>
  <si>
    <t>1099 Only</t>
  </si>
  <si>
    <t>Allowable Fees</t>
  </si>
  <si>
    <t>DTI &gt; 45%</t>
  </si>
  <si>
    <t>Asset Utilization Only</t>
  </si>
  <si>
    <t>Click Here</t>
  </si>
  <si>
    <t>ITIN</t>
  </si>
  <si>
    <t>Asset Utilization W/ Full Doc</t>
  </si>
  <si>
    <t>PPP Requirements</t>
  </si>
  <si>
    <t>Foreign Nat' With Fico</t>
  </si>
  <si>
    <t>VOE</t>
  </si>
  <si>
    <t>PPP Required on NOO&gt;80% LTV   
* 6 Months interest on 80% of the Principal Balance *
** 5% Fixed PPP option is 5% penalty on Original Balance for the duration of the Pre-Pay Term **</t>
  </si>
  <si>
    <t>Alt Doc Column Includes</t>
  </si>
  <si>
    <t>12 Bank Statements</t>
  </si>
  <si>
    <t>12 or 24 CPA P&amp;L</t>
  </si>
  <si>
    <t>1x30x12</t>
  </si>
  <si>
    <t>Asset Utlization W/ Bank Stmt</t>
  </si>
  <si>
    <t>1x60x12</t>
  </si>
  <si>
    <t>1x30x6</t>
  </si>
  <si>
    <t>0x30x24</t>
  </si>
  <si>
    <t>12 Months</t>
  </si>
  <si>
    <t>24 Months</t>
  </si>
  <si>
    <t>36 Months</t>
  </si>
  <si>
    <t>48 Months</t>
  </si>
  <si>
    <t>DSCR LoanStream</t>
  </si>
  <si>
    <t>DSCR</t>
  </si>
  <si>
    <t>DSCR 5-8</t>
  </si>
  <si>
    <t>DSCR Cashout</t>
  </si>
  <si>
    <t>SELECT - DSCR</t>
  </si>
  <si>
    <t>Core DSCR (≥1.20)</t>
  </si>
  <si>
    <t>Core DSCR (≥1.00)</t>
  </si>
  <si>
    <t>Sub1 DSCR (0.75-0.99)</t>
  </si>
  <si>
    <t xml:space="preserve">No Ratio DSCR - &lt; 0.75  </t>
  </si>
  <si>
    <t>DSCR Fusion (DSCR + Asset Util)</t>
  </si>
  <si>
    <t>Property/Units</t>
  </si>
  <si>
    <t>Short Term Rental</t>
  </si>
  <si>
    <t>Georgia</t>
  </si>
  <si>
    <t>Illinois</t>
  </si>
  <si>
    <t>Kansas</t>
  </si>
  <si>
    <t>Temporary Guidance See Below Extension Cost
All Rates @ 2 bps / day Extension Cost
Current lock extension costs/policies apply to all active locks, regardless of lock date
All 45 day locks are at a 25bp cost and are eligible for up to 15 days of extensions at cost 
All 60 day locks are at a 50bp cost and are not eligible for Lock Extensions</t>
  </si>
  <si>
    <t>New Jersey</t>
  </si>
  <si>
    <t>North Carolina</t>
  </si>
  <si>
    <t>Ohio</t>
  </si>
  <si>
    <t>NJ Title Vested in LLC</t>
  </si>
  <si>
    <t>DSCR 5-8 Units</t>
  </si>
  <si>
    <t>Intt Only: 40Yr or ARM (30&amp;40Yr)</t>
  </si>
  <si>
    <t>FICO</t>
  </si>
  <si>
    <t>LTV</t>
  </si>
  <si>
    <t>Prepayment Penalties</t>
  </si>
  <si>
    <t>Escrow Waiver</t>
  </si>
  <si>
    <t>Term</t>
  </si>
  <si>
    <t>Lock Period</t>
  </si>
  <si>
    <t>Comp Type</t>
  </si>
  <si>
    <t>Foreign National</t>
  </si>
  <si>
    <t>NOO &amp; 2nd Home &gt;75% LTV</t>
  </si>
  <si>
    <t>All NonQM 25 except SELECT</t>
  </si>
  <si>
    <t xml:space="preserve">Special </t>
  </si>
  <si>
    <t>Full/Alt NOO &amp; 2nd Home ≤75% LTV</t>
  </si>
  <si>
    <t>Full Doc</t>
  </si>
  <si>
    <t>None in this Dropdown</t>
  </si>
  <si>
    <t>DTI ≤45% - All Doc Types</t>
  </si>
  <si>
    <t>SFR</t>
  </si>
  <si>
    <t>Primary</t>
  </si>
  <si>
    <t>15 Day</t>
  </si>
  <si>
    <t>Borrower Paid</t>
  </si>
  <si>
    <t>US Citizen</t>
  </si>
  <si>
    <t>Not Applicable1</t>
  </si>
  <si>
    <t>All Other States</t>
  </si>
  <si>
    <t>Cash-Out/Debt Consol. FICO &lt; 680</t>
  </si>
  <si>
    <t>Alt Doc</t>
  </si>
  <si>
    <t>DTI &gt;45% - All Doc Types</t>
  </si>
  <si>
    <t>Permanent Resident</t>
  </si>
  <si>
    <t>Not Applicable2</t>
  </si>
  <si>
    <t>2:1 Buydown</t>
  </si>
  <si>
    <t>Yes</t>
  </si>
  <si>
    <t>Alaska</t>
  </si>
  <si>
    <t xml:space="preserve"> </t>
  </si>
  <si>
    <t>DTI ≥50% - All Doc Types</t>
  </si>
  <si>
    <t>Full Doc - Non-Owner</t>
  </si>
  <si>
    <t>30YR IO Fixed</t>
  </si>
  <si>
    <t>Non Perm Resident</t>
  </si>
  <si>
    <t>Not Applicable3</t>
  </si>
  <si>
    <t>1:0 Buydown</t>
  </si>
  <si>
    <t>California</t>
  </si>
  <si>
    <r>
      <t>Core DSCR (</t>
    </r>
    <r>
      <rPr>
        <sz val="11"/>
        <color rgb="FF003366"/>
        <rFont val="Arial"/>
        <family val="2"/>
      </rPr>
      <t>≥1.20)</t>
    </r>
  </si>
  <si>
    <t>No DTI Program</t>
  </si>
  <si>
    <t>Condo</t>
  </si>
  <si>
    <t>Non-Owner (Alt Doc/DSCR)</t>
  </si>
  <si>
    <t>40YR IO Fixed</t>
  </si>
  <si>
    <t>Maryland</t>
  </si>
  <si>
    <r>
      <t>Core DSCR (</t>
    </r>
    <r>
      <rPr>
        <sz val="11"/>
        <color rgb="FF003366"/>
        <rFont val="Arial"/>
        <family val="2"/>
      </rPr>
      <t>≥1.00)</t>
    </r>
  </si>
  <si>
    <t>FL Condo</t>
  </si>
  <si>
    <t>75 Day</t>
  </si>
  <si>
    <t>Minnesota</t>
  </si>
  <si>
    <t>green is logic</t>
  </si>
  <si>
    <t>New Mexico</t>
  </si>
  <si>
    <t>z1 cell has 2 specials formulas</t>
  </si>
  <si>
    <t>PUD</t>
  </si>
  <si>
    <t>5/6 30YR IO ARM</t>
  </si>
  <si>
    <t>New Hampshire</t>
  </si>
  <si>
    <t>Delaware</t>
  </si>
  <si>
    <t>7/6 30YR IO ARM</t>
  </si>
  <si>
    <t>Title Vesting</t>
  </si>
  <si>
    <t>DSCR CASHOUT</t>
  </si>
  <si>
    <t>&lt; 3 Months</t>
  </si>
  <si>
    <t>NJ Title Vested In LLC</t>
  </si>
  <si>
    <t xml:space="preserve"> 'NanQ ONE Program'!</t>
  </si>
  <si>
    <t>≥ 3 Months</t>
  </si>
  <si>
    <t>NJ Title Vested In Corp</t>
  </si>
  <si>
    <t>Feed(WS)'!</t>
  </si>
  <si>
    <t>≥ 6 Months</t>
  </si>
  <si>
    <t>1x30x12 (DSCR)</t>
  </si>
  <si>
    <t>5% Fixed PPP</t>
  </si>
  <si>
    <t>≥ 12 Months</t>
  </si>
  <si>
    <t>Pop Ups</t>
  </si>
  <si>
    <t>No Ratio above 60% warning</t>
  </si>
  <si>
    <t>CORE 1x30</t>
  </si>
  <si>
    <t>CORE 1x60</t>
  </si>
  <si>
    <t>Disqualifiers Select</t>
  </si>
  <si>
    <t>Disqualifiers DSCR</t>
  </si>
  <si>
    <t>CORE</t>
  </si>
  <si>
    <t>Housing History X LTV</t>
  </si>
  <si>
    <t>1x30x12  5% LTV reduction FICO 700+ purchase capped 85%</t>
  </si>
  <si>
    <t>1x60x12  10% LTV reduction FICO 700+ purchase capped 80%</t>
  </si>
  <si>
    <t>All States PPP</t>
  </si>
  <si>
    <t>Misc Disqualifiers</t>
  </si>
  <si>
    <t>Disqualifiers</t>
  </si>
  <si>
    <t>Preferred x Housing History</t>
  </si>
  <si>
    <t>Has to be 0x30x24</t>
  </si>
  <si>
    <t>Prop Type</t>
  </si>
  <si>
    <t>2-4 Units is capped at 80% LTV</t>
  </si>
  <si>
    <t>FICO X Loan Amt X LTV X STANDARD</t>
  </si>
  <si>
    <t>680 Standard, LTV 80.01-85% NA over 1 mil</t>
  </si>
  <si>
    <t>1x30x12  5% LTV reduction FICO 680+ Purchase capped 80%</t>
  </si>
  <si>
    <t>1x60x12  10% LTV reduction FICO 680+ Purchase capped 75%</t>
  </si>
  <si>
    <t>State Restrictions</t>
  </si>
  <si>
    <t>FULL ALT N/A for Baltimore City and Essex County</t>
  </si>
  <si>
    <t>DSCR 640 FICO</t>
  </si>
  <si>
    <t>Max Cashout 640 FICO DSCR is 70%</t>
  </si>
  <si>
    <t>ITIN N/A for 85.01-90% LTV</t>
  </si>
  <si>
    <t>Reserves X Preferred</t>
  </si>
  <si>
    <t>Min 6 Months</t>
  </si>
  <si>
    <t>2-4 Units is capped at 75% LTV Cahshout (5% Reduction)</t>
  </si>
  <si>
    <t>FICO X Loan Amt X LTV X A+</t>
  </si>
  <si>
    <t>680 FICO caps over 1.5MM to 2 MM 80% LTV</t>
  </si>
  <si>
    <t>1x30x12  5% LTV reduction FICO 600+ Purchase capped 75%</t>
  </si>
  <si>
    <t>1x60x12  10% LTV reduction FICO 600+ Purchase capped 70%</t>
  </si>
  <si>
    <t>DSCR N/A for Baltimore City and Essex County</t>
  </si>
  <si>
    <t>DSCR 620 FICO</t>
  </si>
  <si>
    <t>Max Cashout 620 FICO DSCR is 65%</t>
  </si>
  <si>
    <t>ITIN minimum 660 Fico rule for all LTVs</t>
  </si>
  <si>
    <t>Select N/A s DSCR</t>
  </si>
  <si>
    <t xml:space="preserve">DSCR 75% CAP on Cash out </t>
  </si>
  <si>
    <t>680 FICO caps over 2MM to 2.5MM 75% LTV</t>
  </si>
  <si>
    <t>1x30x12  10% LTV reduction FICO 700+ purchase capped 80% &gt;$2.5</t>
  </si>
  <si>
    <t>ITIN 0-1.5 mil loan amount max</t>
  </si>
  <si>
    <t>Select  2nd Home Max 75%</t>
  </si>
  <si>
    <t>DSCR Select</t>
  </si>
  <si>
    <t>NAs 2-4 Units/NW Codno</t>
  </si>
  <si>
    <t>FICO X Loan Amt X LTV X CORE</t>
  </si>
  <si>
    <t>680 FICO caps over 2.5MM to 3MM 70% LTV</t>
  </si>
  <si>
    <t>1x30x12  10% LTV reduction FICO 680+ purchase capped 75% &gt;$2.5</t>
  </si>
  <si>
    <t>ITIN N/A for 80.01-90% LTV on NOO</t>
  </si>
  <si>
    <t>Preferred  NOO Max 75%</t>
  </si>
  <si>
    <t>No Ratio Nas on FICOs below 640</t>
  </si>
  <si>
    <t>680-719 FICO caps at 60% LTV Pur/R&amp;T</t>
  </si>
  <si>
    <t>1x30x12  10% LTV reduction FICO 600+ purchase capped 70% &gt;$2.5</t>
  </si>
  <si>
    <t>PPP for all other states Full/Alt</t>
  </si>
  <si>
    <t>IF All Other States and NO PPP is chosen then it will N/A</t>
  </si>
  <si>
    <t xml:space="preserve"> Foreign National</t>
  </si>
  <si>
    <t>FN minimum 700 Fico rule</t>
  </si>
  <si>
    <t>Preferred Condo Max 85%</t>
  </si>
  <si>
    <t>Nas for Select DSCR STR</t>
  </si>
  <si>
    <t>680 FICO NA &gt;3.5MM</t>
  </si>
  <si>
    <t>1x30x12  5% LTV reduction FICO 700+ &amp; 680+ R&amp;T capped 80%</t>
  </si>
  <si>
    <t>PPP for all other states DSCR</t>
  </si>
  <si>
    <t>All PPPs</t>
  </si>
  <si>
    <t>NA if PPP is selected for AK, ME,MI, NM</t>
  </si>
  <si>
    <t>Preferred N/A s NW Condo</t>
  </si>
  <si>
    <t>DSCR State</t>
  </si>
  <si>
    <t>DSCR 2MM cap for Georgia</t>
  </si>
  <si>
    <t>700-719 FICO caps over 1.5MM 85% LTV</t>
  </si>
  <si>
    <t>Maryland PPP Full/Alt</t>
  </si>
  <si>
    <t>If MD and PPP &gt;36months NA</t>
  </si>
  <si>
    <t>NA on 1099 over $3MM</t>
  </si>
  <si>
    <t>2 Units is capped at 80% LTV</t>
  </si>
  <si>
    <t xml:space="preserve">DSCR &gt;80%LTV needs ratio of 1.20 </t>
  </si>
  <si>
    <t>700-719 FICO caps over 2.5MM 75% LTV</t>
  </si>
  <si>
    <t>1x30x12  5% LTV reduction FICO 600+ cashout capped 70%</t>
  </si>
  <si>
    <t>Maryland PPP DSCR</t>
  </si>
  <si>
    <t>FN 0-2 mil loan amount max</t>
  </si>
  <si>
    <t>3-4 Units is capped at 75% LTV</t>
  </si>
  <si>
    <t>NJ PPP</t>
  </si>
  <si>
    <t xml:space="preserve">If NJ &lt;&gt; Vested in LLC </t>
  </si>
  <si>
    <t>700-719 FICO cap over 3.5MM is 50% LTV</t>
  </si>
  <si>
    <t>1x30x12  5% LTV reduction FICO 600+ cashout capped 65% &gt;$1mm</t>
  </si>
  <si>
    <t xml:space="preserve">NAs &gt;$4,000,000 </t>
  </si>
  <si>
    <t>FL Condo Max LTV 75%</t>
  </si>
  <si>
    <t>NJ no PPP in Corp</t>
  </si>
  <si>
    <t>If NJ Corp has to have PPP</t>
  </si>
  <si>
    <t>720-739 FICO cap over 2.5MM 75% LTV</t>
  </si>
  <si>
    <t>1x60x12  10% LTV reduction FICO 600+ purchase capped 70%</t>
  </si>
  <si>
    <t>DSCR 5-8 40 Yr I/O</t>
  </si>
  <si>
    <t>85.01-90% LTV</t>
  </si>
  <si>
    <t>A+ / NOO - 2nd home / 85.01-90%</t>
  </si>
  <si>
    <t>Select N/A s 15Year, ARMS, IO, and 40 Year</t>
  </si>
  <si>
    <t>LLC PPP</t>
  </si>
  <si>
    <t>Need to choose NJ and in LLC to allow no PPP for max of 100</t>
  </si>
  <si>
    <t>720-739 FICO cap over 3MM 70% LTV</t>
  </si>
  <si>
    <t>1x60x12  5% LTV reduction FICO 600-679 Cashout capped 65%</t>
  </si>
  <si>
    <t>DSCR 5-8 Escrow</t>
  </si>
  <si>
    <t>Must have impounds/escrows</t>
  </si>
  <si>
    <t>C Grade &gt;70%</t>
  </si>
  <si>
    <t>Not used</t>
  </si>
  <si>
    <t>C Grade /  &gt;70% LTV</t>
  </si>
  <si>
    <t>Preferred X Cash out</t>
  </si>
  <si>
    <t>Cash Out caps LTV at 75%</t>
  </si>
  <si>
    <t>Corp No state</t>
  </si>
  <si>
    <t>If Vesting=corp, and state is ALL, and NO PPP then NA</t>
  </si>
  <si>
    <t>720-739 FICO cap over 3.5MM 60% LTV</t>
  </si>
  <si>
    <t>1x30x12  5% LTV reduction FICO 700+ CASHOUT Max 75%</t>
  </si>
  <si>
    <t>1x60x12  10% LTV reduction FICO 700+ CASHOUT Max 70%</t>
  </si>
  <si>
    <t>Sub 1 Ratio 70%</t>
  </si>
  <si>
    <t>No Ratio Pur/R&amp;T N/A &gt;70%</t>
  </si>
  <si>
    <t>PPP &gt;80% LTV</t>
  </si>
  <si>
    <t>80.01-90% / NOO / PPP required</t>
  </si>
  <si>
    <t>Preferred X Loan Amount</t>
  </si>
  <si>
    <t>No Select over 3MM or Below &lt;150k</t>
  </si>
  <si>
    <t>Vesting Blank</t>
  </si>
  <si>
    <t>If Vesting is left blank, State NJ, and PPP is chosen then NA</t>
  </si>
  <si>
    <t>740+ FICO cap over 3.5MM 65% LTV</t>
  </si>
  <si>
    <t>1x30x12  5% LTV reduction FICO 720+ CASHOUT Max 75% &gt;1mm</t>
  </si>
  <si>
    <t>1x60x12  10% LTV reduction FICO 700+ CASHOUT Max 70% &gt;1mm</t>
  </si>
  <si>
    <t>Max LTV Sub 1</t>
  </si>
  <si>
    <t>Max 75% 720+ FICO Sub 1 Ratio</t>
  </si>
  <si>
    <t>Grade A+ Min FICO is 660</t>
  </si>
  <si>
    <t>Grade A+ Minimum FICO is 660, so under 660 is “NA”</t>
  </si>
  <si>
    <t>FICO X Preferred</t>
  </si>
  <si>
    <t>680 FICO minimum</t>
  </si>
  <si>
    <t>NAs Alt, Full for 5-8 Units</t>
  </si>
  <si>
    <t>600+ FICO cap over 1mm 75% Purchase &amp; R&amp;T</t>
  </si>
  <si>
    <t>1x30x12  5% LTV reduction FICO 640-679 CASHOUT Max 70% &gt;1mm</t>
  </si>
  <si>
    <t>1x60x12  10% LTV reduction FICO 640-679 CASHOUT Max 65% &gt;1mm</t>
  </si>
  <si>
    <t>No Ratio Cashout</t>
  </si>
  <si>
    <t>No Ratio Cashout N/A &gt;65%</t>
  </si>
  <si>
    <t>85.01-90% LTV 1.5mil cap</t>
  </si>
  <si>
    <t>90% LTV Max loan amount is 1.5MM, so &gt;1.5 and &gt;2 and &gt;3 is “NA”</t>
  </si>
  <si>
    <t>FICO X Loan Amt X LTV X Preferred</t>
  </si>
  <si>
    <t>680-699 FICO caps 1 MM at 80% LTV</t>
  </si>
  <si>
    <t>DSCR 5-8 Purchase 720 1.5MM</t>
  </si>
  <si>
    <t>DSCR 5-8 Purchase &gt;720 1.5MM 75 LTV</t>
  </si>
  <si>
    <t>600-639 NA Over 1.5MM</t>
  </si>
  <si>
    <t>1x30x12  5% LTV reduction FICO 600-639 CASHOUT Max 65% &gt;1mm</t>
  </si>
  <si>
    <t>1x60x12  5% LTV reduction FICO 600-639 Purchase Max 65% &gt;1mm</t>
  </si>
  <si>
    <t>No Ratio Property Type</t>
  </si>
  <si>
    <t>No Ratio Pur/R&amp;T N/A &gt;60% Condo</t>
  </si>
  <si>
    <t>80.01-85% LTV 2mil cap</t>
  </si>
  <si>
    <t>85% LTV Max Loan Amount is 2.0MM so &gt;2 is “NA”</t>
  </si>
  <si>
    <t>680-699 FICO caps over 1 MM at 75% LTV</t>
  </si>
  <si>
    <t>DSCR 5-8 Purchase 700 1.5MM</t>
  </si>
  <si>
    <t>DSCR 5-8 Purchase &gt;700 1.5MM 75 LTV</t>
  </si>
  <si>
    <t>640-659 NA Over 2MM</t>
  </si>
  <si>
    <t>1x30x12  5% LTV reduction FICO 740+ Purchase Max 80% &gt;1.5mm</t>
  </si>
  <si>
    <t>1x60x12  10% LTV reduction FICO 740+ Purchase Max 75% &gt;1.5mm</t>
  </si>
  <si>
    <t>No Ratio Proper Type</t>
  </si>
  <si>
    <t>No Ratio Cashout N/A &gt;55% Condo</t>
  </si>
  <si>
    <t>70% LTV 3-4 mil cap</t>
  </si>
  <si>
    <t>70% LTV Max so &gt;3-&gt;4 is “NA”</t>
  </si>
  <si>
    <t>FICO X Loan Amt X LTV X Select</t>
  </si>
  <si>
    <t>680-699 FICO caps over 2 MM at 65% LTV</t>
  </si>
  <si>
    <t>DSCR 5-8 Purchase 680 1.5MM</t>
  </si>
  <si>
    <t>DSCR 5-8 Purchase &gt;680 1.5MM 70 LTV</t>
  </si>
  <si>
    <t>680-699 NA Over 3.5MM</t>
  </si>
  <si>
    <t>1x30x12  5% LTV reduction FICO 740+ Cashout Max 75% &gt;1.5mm</t>
  </si>
  <si>
    <t>1x60x12  10% LTV reduction FICO 740+ Cashout Max 70% &gt;1.5mm</t>
  </si>
  <si>
    <t>Condo 80% LTV Cap</t>
  </si>
  <si>
    <t>85% Max for Condo</t>
  </si>
  <si>
    <t>680-699 FICO caps over 2.5 MM at 60% LTV</t>
  </si>
  <si>
    <t>DSCR 5-8 Purchase 720 2.0MM</t>
  </si>
  <si>
    <t>DSCR 5-8 Purchase &gt;720 2.0MM 70 LTV</t>
  </si>
  <si>
    <t>600-679 FICO NA over 75% Cashout</t>
  </si>
  <si>
    <t>1x30x12  5% LTV reduction FICO 720-739 Purchase Max 80% &gt;1.5mm</t>
  </si>
  <si>
    <t>1x60x12 10% LTV reduction FICO 720-739 Purchase Max 75% &gt;1.5mm</t>
  </si>
  <si>
    <t>2 Unit 85% LTV Cap</t>
  </si>
  <si>
    <t>85% Max for 2 Units</t>
  </si>
  <si>
    <t>700-719 FICO caps  1 MM at 85% LTV</t>
  </si>
  <si>
    <t>DSCR 5-8 Purchase 700 2.0MM</t>
  </si>
  <si>
    <t>DSCR 5-8 Purchase &gt;700 2.0MM 70 LTV</t>
  </si>
  <si>
    <t>640-679 FICO NA over 75% Cashout &gt;1mm</t>
  </si>
  <si>
    <t>1x30x12  5% LTV reduction FICO 720-739 Purchase Max 75% &gt;1.5mm</t>
  </si>
  <si>
    <t>1x60x12  10% LTV reduction FICO 720-739 Cashout Max 70% &gt;1.5mm</t>
  </si>
  <si>
    <t>NW Condo 75% LTV Cap</t>
  </si>
  <si>
    <t>75% Max for NW Condo</t>
  </si>
  <si>
    <t>700-719 FICO caps over 1 MM at 80% LTV</t>
  </si>
  <si>
    <t>DSCR 5-8 Purchase 680 2.0MM</t>
  </si>
  <si>
    <t>DSCR 5-8 Purchase &gt;680 2.0MM 65 LTV</t>
  </si>
  <si>
    <t>600-639 FICO NA over 70% Cashout &gt;1mm</t>
  </si>
  <si>
    <t>1x30x12  5% LTV reduction FICO 700-719 Purchase Max 80% &gt;1.5mm</t>
  </si>
  <si>
    <t>1x60x12  10% LTV reduction FICO 700-719 Purchase Max 75% &gt;1.5mm</t>
  </si>
  <si>
    <t>LTV MAX</t>
  </si>
  <si>
    <t>80% MAX LTV</t>
  </si>
  <si>
    <t>3-4 Unit 80% LTV Cap</t>
  </si>
  <si>
    <t>80% Max for 3-4 Units</t>
  </si>
  <si>
    <t>700-719 FICO caps over 1.5 MM at 75% LTV</t>
  </si>
  <si>
    <t>DSCR 5-8 Cashout 720 1.5MM</t>
  </si>
  <si>
    <t>DSCR 5-8 Cashout &gt;720 1.5MM 65 LTV</t>
  </si>
  <si>
    <t>600-639 FICO NA over 70% Cashout &gt;1.5mm</t>
  </si>
  <si>
    <t>1x30x12  5% LTV reduction FICO 700-719 Cashout Max 75% &gt;1.5mm</t>
  </si>
  <si>
    <t>1x60x12  10% LTV reduction FICO 700-719 Cashout Max 70% &gt;1.5mm</t>
  </si>
  <si>
    <t>MIN FICO</t>
  </si>
  <si>
    <t>660 Min FICO</t>
  </si>
  <si>
    <t>DSCR &gt;70% LTV 620 FICO cap</t>
  </si>
  <si>
    <t>700-719 FICO caps over 2.5 MM at 65% LTV</t>
  </si>
  <si>
    <t>DSCR 5-8 Cashout 700 1.5MM</t>
  </si>
  <si>
    <t>DSCR 5-8 Cashout &gt;700 1.5MM 65 LTV</t>
  </si>
  <si>
    <t>680-699 FICO NA over 75% Cashout &gt;1.5mm</t>
  </si>
  <si>
    <t>1x30x12  5% LTV reduction FICO 680-699 Purchase Max 75% &gt;1.5mm</t>
  </si>
  <si>
    <t>1x600x12  10% LTV reduction FICO 680-699 Purchase Max 70% &gt;1.5mm</t>
  </si>
  <si>
    <t>Max LA</t>
  </si>
  <si>
    <t>2.5MM Max</t>
  </si>
  <si>
    <t>DSCR &gt;80% 2-4 Units/Condo</t>
  </si>
  <si>
    <t>720-739 FICO caps caps 1.5 MM at 85% LTV</t>
  </si>
  <si>
    <t>DSCR 5-8 Cashout 680 1.5MM</t>
  </si>
  <si>
    <t>DSCR 5-8 Cashout &gt;680 1.5MM 60 LTV</t>
  </si>
  <si>
    <t>640-679 FICO NA over 75% Purchase &gt;1.5mm</t>
  </si>
  <si>
    <t>1x30x12  5% LTV reduction FICO 680-699 Cashout Max 70% &gt;1.5mm</t>
  </si>
  <si>
    <t>1x60x12  10% LTV reduction FICO 680-699 Cashout Max 65% &gt;1.5mm</t>
  </si>
  <si>
    <t>Min 36 Months</t>
  </si>
  <si>
    <t>DSCR 75% CAP on Cash out FICO &lt;720</t>
  </si>
  <si>
    <t>720-739 FICO caps over 1.5 MM and 80% LTV</t>
  </si>
  <si>
    <t>DSCR 5-8 Cashout 720 2.0MM</t>
  </si>
  <si>
    <t>DSCR 5-8 Cashout &gt;720 2.0MM 65 LTV</t>
  </si>
  <si>
    <t>640-679 FICO NA over 70% Cashout &gt;1.5mm</t>
  </si>
  <si>
    <t>1x30x12  5% LTV reduction FICO 640-679 Purchase Max 70% &gt;1.5mm</t>
  </si>
  <si>
    <t>1x60x12  10% LTV reduction FICO 640-679 Purchase Max 65% &gt;1.5mm</t>
  </si>
  <si>
    <t>Min Lates</t>
  </si>
  <si>
    <t>Max allowed is 1x30x12</t>
  </si>
  <si>
    <t>DTI &gt;45%</t>
  </si>
  <si>
    <t>DTIs over 45% can't pair with LTVs 85.01-90%</t>
  </si>
  <si>
    <t>720-739 FICO caps over 2 MM and 75% LTV</t>
  </si>
  <si>
    <t>DSCR 5-8 Cashout 700 2.0MM</t>
  </si>
  <si>
    <t>DSCR 5-8 Cashout &gt;700 2.0MM 65 LTV</t>
  </si>
  <si>
    <t>700+ FICO NA over 80% Cashout &gt;2mm</t>
  </si>
  <si>
    <t>1x30x12  5% LTV reduction FICO 640-679 Cashout Max 65% &gt;1.5mm</t>
  </si>
  <si>
    <t>1x60x12 10% LTV reduction FICO 640-679 Cashout Max 60% &gt;1.5mm</t>
  </si>
  <si>
    <t>I/O over 80% LTV</t>
  </si>
  <si>
    <t>NA for any IO over 80% LTV</t>
  </si>
  <si>
    <t>740+ FICO caps  2 MM at 85% LTV</t>
  </si>
  <si>
    <t>DSCR 5-8 Cashout 680 2.0MM</t>
  </si>
  <si>
    <t>DSCR 5-8 Cashout &gt;680 2.0MM 60 LTV</t>
  </si>
  <si>
    <t>680-699 FICO NA over 70% Cashout &gt;2mm</t>
  </si>
  <si>
    <t>1x30x12  5% LTV reduction FICO 700+ Purchase Max 75% &gt;2mm</t>
  </si>
  <si>
    <t>1x60x12 10% LTV reduction FICO 700+ Purchase Max 70% &gt;2mm</t>
  </si>
  <si>
    <t>Min Rate &gt;$2MM</t>
  </si>
  <si>
    <t>NA for rates below min rate</t>
  </si>
  <si>
    <t>740+ FICO caps  over 2.5 MM at 75% LTV</t>
  </si>
  <si>
    <t>DSCR 5-8 RateTerm 720 1.5MM</t>
  </si>
  <si>
    <t>DSCR 5-8 RateTerm &gt;720 1.5MM 75 LTV</t>
  </si>
  <si>
    <t>660-679 FICO NA over 70% Purchase &gt;2mm</t>
  </si>
  <si>
    <t>1x30x12  5% LTV reduction FICO 700+ Cashout Max 70% &gt;2mm</t>
  </si>
  <si>
    <t>1x60x12  10% LTV reduction FICO 700+ Cashout Max 65% &gt;2mm</t>
  </si>
  <si>
    <t>Min Rate ITIN</t>
  </si>
  <si>
    <t>7.499 min rate for ITIN</t>
  </si>
  <si>
    <t>FICO X Loan Amt X LTV X Select X Cash</t>
  </si>
  <si>
    <t>680-699 FICO caps over 1 MM at 70% LTV Cash Out</t>
  </si>
  <si>
    <t>DSCR 5-8 RateTerm 700 1.5MM</t>
  </si>
  <si>
    <t>DSCR 5-8 RateTerm &gt;700 1.5MM 75 LTV</t>
  </si>
  <si>
    <t>660-679 FICO NA over 65% Cashout &gt;2mm</t>
  </si>
  <si>
    <t>1x30x12  5% LTV reduction FICO 680-699 Purchase Max 70% &gt;2mm</t>
  </si>
  <si>
    <t>1x60x12  10% LTV reduction FICO 680-699 Purchase Max 65% &gt;2mm</t>
  </si>
  <si>
    <t>No Ratio &lt; 0.750</t>
  </si>
  <si>
    <t>CA NAs on No PPP NOO</t>
  </si>
  <si>
    <t>680-699 FICO caps over 2 MM at 60% LTV Cash Out</t>
  </si>
  <si>
    <t>DSCR 5-8 RateTerm 680 1.5MM</t>
  </si>
  <si>
    <t>DSCR 5-8 RateTerm &gt;680 1.5MM 65 LTV</t>
  </si>
  <si>
    <t>720+ FICO NA over 75% Cashout &gt;2.5mm</t>
  </si>
  <si>
    <t>1x30x12  5% LTV reduction FICO 680-699 Cashout Max 65% &gt;2mm</t>
  </si>
  <si>
    <t>1x60x12 10% LTV reduction FICO 680-699 Cashout Max 60% &gt;2mm</t>
  </si>
  <si>
    <t>Min FICO for NO RATIO</t>
  </si>
  <si>
    <t>700 Min FICO</t>
  </si>
  <si>
    <t>Total</t>
  </si>
  <si>
    <t>700-719 FICO caps over 1.5 MM at 70% LTV Cash Out</t>
  </si>
  <si>
    <t>DSCR 5-8 RateTerm 720 2.0MM</t>
  </si>
  <si>
    <t>DSCR 5-8 RateTerm &gt;720 2.0MM 70 LTV</t>
  </si>
  <si>
    <t>700-719 FICO NA over 70% Cashout &gt;2.5mm</t>
  </si>
  <si>
    <t>1x30x12  10% LTV reduction FICO 720+ Purchase Max 70% &gt;2.5mm</t>
  </si>
  <si>
    <t>1x60x12  15% LTV reduction FICO 720+ Purchase Max 65% &gt;2.5mm</t>
  </si>
  <si>
    <t>Max LTV 700-719</t>
  </si>
  <si>
    <t>65% Purchase 1MM max</t>
  </si>
  <si>
    <t>700-719 FICO caps over 2.5 MM at 60% LTV Cash Out</t>
  </si>
  <si>
    <t>DSCR 5-8 RateTerm 700 2.0MM</t>
  </si>
  <si>
    <t>DSCR 5-8 RateTerm &gt;700 2.0MM 65 LTV</t>
  </si>
  <si>
    <t>680-699 FICO NA over 65% Cashout &gt;2.5mm</t>
  </si>
  <si>
    <t>1x30x12  10% LTV reduction FICO 720+ Cashout Max 60% &gt;2.5mm</t>
  </si>
  <si>
    <t>1x60x12  15% LTV reduction FICO 720+ Cashout Max 55% &gt;2.5mm</t>
  </si>
  <si>
    <t>65% Refi R&amp;T 1MM</t>
  </si>
  <si>
    <t>80.01 - 90%/ A+/ Purch</t>
  </si>
  <si>
    <t>720-739 FICO caps over 2 MM at 70% LTV Cash Out</t>
  </si>
  <si>
    <t>DSCR 5-8 RateTerm 680 2.0MM</t>
  </si>
  <si>
    <t>DSCR 5-8 RateTerm &gt;680 2.0MM 65 LTV</t>
  </si>
  <si>
    <t>660-679 FICO NA over 60% Purchase &gt;2.5mm</t>
  </si>
  <si>
    <t>1x30x12  10% LTV reduction FICO 700-719 Purchase Max 65% &gt;2.5mm</t>
  </si>
  <si>
    <t>1x60x12  15% LTV reduction FICO 700-719 Purchase Max 60% &gt;2.5mm</t>
  </si>
  <si>
    <t>60% Cashout 1MM</t>
  </si>
  <si>
    <t>80.01-85% / "A" Grade / 720 FICO / Purch / Primary</t>
  </si>
  <si>
    <t>740+ FICO caps over 2.5 MM at 70% LTV Cash Out</t>
  </si>
  <si>
    <t>DSCR 5-8 any FICO</t>
  </si>
  <si>
    <t>5-8 any FICO &gt;2.0mm NA</t>
  </si>
  <si>
    <t>660-679 FICO NA over 55% Cashout &gt;2.5mm</t>
  </si>
  <si>
    <t>1x30x12  10% LTV reduction FICO 700-719 Cashout Max 60% &gt;2.5mm</t>
  </si>
  <si>
    <t>1x60x12  15% LTV reduction FICO 700-719 Cashout Max 55% &gt;2.5mm</t>
  </si>
  <si>
    <t>Max LTV 720+</t>
  </si>
  <si>
    <t>70% Purchase 1MM</t>
  </si>
  <si>
    <t>&lt;80% LTV's</t>
  </si>
  <si>
    <t>Purpose X LTV</t>
  </si>
  <si>
    <t>Rate/Term caps at 80% LTV</t>
  </si>
  <si>
    <t>DSCR 5-8 below 680</t>
  </si>
  <si>
    <t>5-8 below 680 NA</t>
  </si>
  <si>
    <t>720+ FICO NA over 65% Cashout &gt;3mm</t>
  </si>
  <si>
    <t>1x30x12  10% LTV reduction FICO 680-699 Purchase Max 60% &gt;2.5mm</t>
  </si>
  <si>
    <t>1x60x12  15% LTV reduction FICO 680-699 Purchase Max 55.% &gt;2.5mm</t>
  </si>
  <si>
    <t>65% R&amp;T 1MM</t>
  </si>
  <si>
    <t>80.01-85% / 720+/ DSCR / &gt;=1.00 Grade / Purch &amp; Rate/term</t>
  </si>
  <si>
    <t>Additional Adjustments</t>
  </si>
  <si>
    <t>NA for Asset Utilization, 1099, and VOE</t>
  </si>
  <si>
    <t>DSCR 5-8 SELECT</t>
  </si>
  <si>
    <t>5-8 SELECT is NA</t>
  </si>
  <si>
    <t>680-719 FICO NA over 55% Cashout &gt;3mm</t>
  </si>
  <si>
    <t>1x30x12  10% LTV reduction FICO 680-699 Cashout Max 55% &gt;2.5mm</t>
  </si>
  <si>
    <t>1x60x12  15% LTV reduction FICO 680-699 Cashout Max 50% &gt;2.5mm</t>
  </si>
  <si>
    <t>80.01 - 90%/ Select</t>
  </si>
  <si>
    <t>DTI cap</t>
  </si>
  <si>
    <t>Preferred caps over 45% DTI</t>
  </si>
  <si>
    <t>DSCR 5-8 I/O</t>
  </si>
  <si>
    <t>5-8 Only Allow 30 Yr Fixed I/O for I/O Option &amp; No 40 Yr Options</t>
  </si>
  <si>
    <t>660-679 FICO NA over 50% Purchase &gt;3mm</t>
  </si>
  <si>
    <t>1x30x12  10% LTV reduction FICO 660-679 Purchase Max 50% &gt;2.5mm</t>
  </si>
  <si>
    <t>1x60x12  15% LTV reduction FICO 660-679 Purchase Max 45% &gt;2.5mm
Have it to NA so its manually priced</t>
  </si>
  <si>
    <t>Mtg lates</t>
  </si>
  <si>
    <t>Up to 0x30x12 allowed</t>
  </si>
  <si>
    <t>80.01 - 85%/ A+/ Rate and term</t>
  </si>
  <si>
    <t>Citizenship</t>
  </si>
  <si>
    <t>NA for ITIN, and Foreign National</t>
  </si>
  <si>
    <t>DSCR ITIN</t>
  </si>
  <si>
    <t>75% Max</t>
  </si>
  <si>
    <t>660-679 FICO NA over 50% Cashout &gt;3mm</t>
  </si>
  <si>
    <t>1x30x12  10% LTV reduction FICO 660-679 Cashout Max 45% &gt;2.5mm</t>
  </si>
  <si>
    <t>60% Purchase 1.5mm max</t>
  </si>
  <si>
    <t>80.01 - 85%/ DSCR</t>
  </si>
  <si>
    <t>P&amp;L</t>
  </si>
  <si>
    <t>P&amp;L Only NA on SELECT</t>
  </si>
  <si>
    <t>Sub 1 / No Ratio ITIN</t>
  </si>
  <si>
    <t>Not allowed</t>
  </si>
  <si>
    <t>740+ FICO NA over 60% Cashout &gt;3.5mm</t>
  </si>
  <si>
    <t>1x30x12  NA, has to be 1x30x12 DSCR</t>
  </si>
  <si>
    <t>60% Refi R&amp;T 1.5mm max</t>
  </si>
  <si>
    <t>SELECT DSCR ITIN</t>
  </si>
  <si>
    <t>720-739 FICO NA over 55% Cashout &gt;3.5mm</t>
  </si>
  <si>
    <t>1x60x12 and 1x30x6 NA for DSCR</t>
  </si>
  <si>
    <t>55% Cashout 1.5MM Max</t>
  </si>
  <si>
    <t>NA if Cashout and chosen NO</t>
  </si>
  <si>
    <t>ITIN X CORE</t>
  </si>
  <si>
    <t>65% Purchase 1.5MM max</t>
  </si>
  <si>
    <t>$1mm max LA for ITIN &gt;80% LTV</t>
  </si>
  <si>
    <t>65% R&amp;T 1.5MM max</t>
  </si>
  <si>
    <t>0x30x12 only for ITIN anything else NA</t>
  </si>
  <si>
    <t>55% Cashout 1.5MM max</t>
  </si>
  <si>
    <t>Base Rate / Base Price</t>
  </si>
  <si>
    <t>Primary PPP</t>
  </si>
  <si>
    <t>NA on Primary PPP</t>
  </si>
  <si>
    <t>Coupon</t>
  </si>
  <si>
    <t>Total LLPA</t>
  </si>
  <si>
    <t>DSCR STR</t>
  </si>
  <si>
    <t>MAX LTV 70% for Cashout</t>
  </si>
  <si>
    <t>.</t>
  </si>
  <si>
    <t>Total Price</t>
  </si>
  <si>
    <t>CORE 1x30x6</t>
  </si>
  <si>
    <t>1x30x6  15% LTV reduction FICO 700+ purchase capped 75%</t>
  </si>
  <si>
    <t>1x60x12  10% LTV reduction FICO 680+ purchase capped 75%</t>
  </si>
  <si>
    <t>1x30x6  15% LTV reduction FICO 680+ purchase capped 70%</t>
  </si>
  <si>
    <t>1x30x6  15% LTV reduction FICO 680+ purchase capped 65%</t>
  </si>
  <si>
    <t>1x30x6 15% LTV reduction FICO 700+ CASHOUT Max 65%</t>
  </si>
  <si>
    <t>Adjust these ranges for when adjusting base rates ------&gt;</t>
  </si>
  <si>
    <t>Par Rates</t>
  </si>
  <si>
    <t>Rules</t>
  </si>
  <si>
    <t>Near Par Rate (Borrower Paid)</t>
  </si>
  <si>
    <t>Full/Alt</t>
  </si>
  <si>
    <t>Final price  →</t>
  </si>
  <si>
    <t>Full Alt</t>
  </si>
  <si>
    <t xml:space="preserve">DTI </t>
  </si>
  <si>
    <t>Citizenship Type</t>
  </si>
  <si>
    <t>NA</t>
  </si>
  <si>
    <t>State DSCR</t>
  </si>
  <si>
    <t>hbn</t>
  </si>
  <si>
    <t>Brokers Choice Mortgage</t>
  </si>
  <si>
    <t>NonQM Brokers Choice</t>
  </si>
  <si>
    <t>Please list all the errors here</t>
  </si>
  <si>
    <t>Cell T11 on the DSCR rate sheet - just needs formatting</t>
  </si>
  <si>
    <t>need to remove the "DSCR Cash-Out". Should be handled under Loan Purpose</t>
  </si>
  <si>
    <t>Remove Lock Request buttons on all Calcs</t>
  </si>
  <si>
    <t>Misc Disqual</t>
  </si>
  <si>
    <t>FICO &lt;680 Cashout</t>
  </si>
  <si>
    <t>Will N/A if Cashout &lt;680 is not chosen</t>
  </si>
  <si>
    <t>FICO &lt;680 R/T</t>
  </si>
  <si>
    <t>Will N/A if R/T &lt;680 is not chosen</t>
  </si>
  <si>
    <t>NonQM!$U$22, $J$6:$J$7, 0</t>
  </si>
  <si>
    <t>680 Standard, LTV 85.01-90% NA over 1.5 mil</t>
  </si>
  <si>
    <t>NonQM!$U$22, $J$4:$J$5, 0</t>
  </si>
  <si>
    <t>FICO &gt;680 R/T</t>
  </si>
  <si>
    <t>Will N/A if R/T &lt;680 is chosen</t>
  </si>
  <si>
    <t>Will N/A if Cashout &lt;680 is chosen</t>
  </si>
  <si>
    <t>FICO &gt;680 Cashout</t>
  </si>
  <si>
    <t>NonQM!$U$22, $J$3</t>
  </si>
  <si>
    <t>NonQM!$U$22, $J$3:$J$7</t>
  </si>
  <si>
    <t>PPP Required on NOO&gt;80% LTV   
* 6 Months interest on 80% of the Principal Balance *
** 5% Fixed PPP option is 5% penalty on Current Balance for the duration of the Pre-Pay Term **</t>
  </si>
  <si>
    <r>
      <rPr>
        <b/>
        <sz val="11"/>
        <color rgb="FFFFFFFF"/>
        <rFont val="Times New Roman"/>
        <family val="1"/>
      </rPr>
      <t>ComplAppr 7/2025</t>
    </r>
  </si>
  <si>
    <r>
      <rPr>
        <sz val="11"/>
        <color rgb="FF211F1F"/>
        <rFont val="Calibri"/>
        <family val="2"/>
      </rPr>
      <t>Never</t>
    </r>
  </si>
  <si>
    <r>
      <rPr>
        <sz val="11"/>
        <color rgb="FF211F1F"/>
        <rFont val="Calibri"/>
        <family val="2"/>
      </rPr>
      <t>2% of balance prepaid</t>
    </r>
  </si>
  <si>
    <r>
      <rPr>
        <sz val="11"/>
        <color rgb="FF211F1F"/>
        <rFont val="Calibri"/>
        <family val="2"/>
      </rPr>
      <t>Maximum of 1 year</t>
    </r>
  </si>
  <si>
    <t>Rhode Island</t>
  </si>
  <si>
    <t>&lt;=$312,159 and 1-2 Unit</t>
  </si>
  <si>
    <r>
      <rPr>
        <sz val="11"/>
        <color rgb="FF211F1F"/>
        <rFont val="Calibri"/>
        <family val="2"/>
      </rPr>
      <t>Normal Rates</t>
    </r>
  </si>
  <si>
    <r>
      <rPr>
        <sz val="11"/>
        <rFont val="Calibri"/>
        <family val="2"/>
      </rPr>
      <t>&gt;$312,159 and 1-2 Unit, or any 3-4 Unit, including 5-
8 Units</t>
    </r>
  </si>
  <si>
    <r>
      <rPr>
        <b/>
        <sz val="11"/>
        <color rgb="FF211F1F"/>
        <rFont val="Calibri"/>
        <family val="2"/>
      </rPr>
      <t>Pennsylvania</t>
    </r>
  </si>
  <si>
    <r>
      <rPr>
        <sz val="11"/>
        <color rgb="FF211F1F"/>
        <rFont val="Calibri"/>
        <family val="2"/>
      </rPr>
      <t>&lt; $112,957</t>
    </r>
  </si>
  <si>
    <r>
      <rPr>
        <sz val="11"/>
        <color rgb="FF211F1F"/>
        <rFont val="Calibri"/>
        <family val="2"/>
      </rPr>
      <t>1% of original principal amount</t>
    </r>
  </si>
  <si>
    <r>
      <rPr>
        <sz val="11"/>
        <color rgb="FF211F1F"/>
        <rFont val="Calibri"/>
        <family val="2"/>
      </rPr>
      <t>&gt; = $112,957; 5 year max</t>
    </r>
  </si>
  <si>
    <r>
      <rPr>
        <b/>
        <sz val="11"/>
        <color rgb="FF211F1F"/>
        <rFont val="Calibri"/>
        <family val="2"/>
      </rPr>
      <t>Ohio</t>
    </r>
  </si>
  <si>
    <t>Closed in name of individual or LLC</t>
  </si>
  <si>
    <r>
      <rPr>
        <sz val="11"/>
        <color rgb="FF211F1F"/>
        <rFont val="Calibri"/>
        <family val="2"/>
      </rPr>
      <t xml:space="preserve">Closed in name of </t>
    </r>
    <r>
      <rPr>
        <b/>
        <sz val="11"/>
        <color rgb="FF211F1F"/>
        <rFont val="Calibri"/>
        <family val="2"/>
      </rPr>
      <t xml:space="preserve">Corp (Inc.) </t>
    </r>
    <r>
      <rPr>
        <sz val="11"/>
        <color rgb="FF211F1F"/>
        <rFont val="Calibri"/>
        <family val="2"/>
      </rPr>
      <t>*does NOT include LLC</t>
    </r>
  </si>
  <si>
    <r>
      <rPr>
        <b/>
        <sz val="11"/>
        <color rgb="FF211F1F"/>
        <rFont val="Calibri"/>
        <family val="2"/>
      </rPr>
      <t>New Jersey</t>
    </r>
  </si>
  <si>
    <r>
      <rPr>
        <sz val="11"/>
        <color rgb="FF211F1F"/>
        <rFont val="Calibri"/>
        <family val="2"/>
      </rPr>
      <t>1% of balance prepaid</t>
    </r>
  </si>
  <si>
    <r>
      <rPr>
        <sz val="11"/>
        <color rgb="FF211F1F"/>
        <rFont val="Calibri"/>
        <family val="2"/>
      </rPr>
      <t>Maximum of 3 years</t>
    </r>
  </si>
  <si>
    <t>Michigan</t>
  </si>
  <si>
    <t>Never</t>
  </si>
  <si>
    <t>2 months advance interest on the aggregate amount of all prepayments made in a 12-month period which exceed 1/3 of the amount of the loan</t>
  </si>
  <si>
    <t>If closed in the name of an individual and Rate is = &gt; 8% APR, **if in Cook County &lt; $250K</t>
  </si>
  <si>
    <r>
      <rPr>
        <sz val="11"/>
        <rFont val="Calibri"/>
        <family val="2"/>
      </rPr>
      <t xml:space="preserve">All of IL: If closed in the name of an individual and rate  &lt; 8% APR, </t>
    </r>
    <r>
      <rPr>
        <b/>
        <sz val="11"/>
        <rFont val="Calibri"/>
        <family val="2"/>
      </rPr>
      <t xml:space="preserve">or </t>
    </r>
    <r>
      <rPr>
        <sz val="11"/>
        <rFont val="Calibri"/>
        <family val="2"/>
      </rPr>
      <t>is a Business Purpose Loan &amp; closed in a  Corporation, or LLC.  **if in Cook County must also be
&gt;$250k</t>
    </r>
  </si>
  <si>
    <r>
      <rPr>
        <b/>
        <sz val="11"/>
        <color rgb="FF211F1F"/>
        <rFont val="Calibri"/>
        <family val="2"/>
      </rPr>
      <t>*Illinois / Cook County</t>
    </r>
  </si>
  <si>
    <r>
      <rPr>
        <b/>
        <sz val="11"/>
        <color rgb="FF211F1F"/>
        <rFont val="Calibri"/>
        <family val="2"/>
      </rPr>
      <t>No PPP Allowed When:</t>
    </r>
  </si>
  <si>
    <r>
      <rPr>
        <b/>
        <sz val="11"/>
        <color rgb="FF211F1F"/>
        <rFont val="Calibri"/>
        <family val="2"/>
      </rPr>
      <t>PPP Structures</t>
    </r>
  </si>
  <si>
    <r>
      <rPr>
        <b/>
        <sz val="11"/>
        <color rgb="FF211F1F"/>
        <rFont val="Calibri"/>
        <family val="2"/>
      </rPr>
      <t>PPP Allowed When:</t>
    </r>
  </si>
  <si>
    <r>
      <rPr>
        <b/>
        <sz val="11"/>
        <color rgb="FF211F1F"/>
        <rFont val="Calibri"/>
        <family val="2"/>
      </rPr>
      <t>States</t>
    </r>
  </si>
  <si>
    <r>
      <rPr>
        <b/>
        <sz val="11"/>
        <color rgb="FFFFFFFF"/>
        <rFont val="Calibri"/>
        <family val="2"/>
      </rPr>
      <t>States with “Restricted” Prepayment Penalties</t>
    </r>
  </si>
  <si>
    <r>
      <rPr>
        <b/>
        <sz val="11"/>
        <color rgb="FF211F1F"/>
        <rFont val="Calibri"/>
        <family val="2"/>
      </rPr>
      <t>Minnesota</t>
    </r>
  </si>
  <si>
    <r>
      <rPr>
        <b/>
        <sz val="11"/>
        <color rgb="FF211F1F"/>
        <rFont val="Calibri"/>
        <family val="2"/>
      </rPr>
      <t>Delaware</t>
    </r>
  </si>
  <si>
    <r>
      <rPr>
        <b/>
        <sz val="11"/>
        <color rgb="FF211F1F"/>
        <rFont val="Calibri"/>
        <family val="2"/>
      </rPr>
      <t>New Hampshire</t>
    </r>
  </si>
  <si>
    <r>
      <rPr>
        <b/>
        <sz val="11"/>
        <rFont val="Calibri"/>
        <family val="2"/>
      </rPr>
      <t xml:space="preserve">Alaska  -
</t>
    </r>
    <r>
      <rPr>
        <sz val="11"/>
        <rFont val="Calibri"/>
        <family val="2"/>
      </rPr>
      <t>Express prohibition on PP provisions for business purpose loans or maximum PP charge is so low there’s no market for them</t>
    </r>
  </si>
  <si>
    <r>
      <rPr>
        <b/>
        <sz val="11"/>
        <color rgb="FFFFFFFF"/>
        <rFont val="Calibri"/>
        <family val="2"/>
      </rPr>
      <t>No Prepayment Penalties Allowed</t>
    </r>
  </si>
  <si>
    <t>Wyoming</t>
  </si>
  <si>
    <t>Mississippi</t>
  </si>
  <si>
    <t>Wisconsin</t>
  </si>
  <si>
    <t>Massachusetts</t>
  </si>
  <si>
    <t>West Virginia</t>
  </si>
  <si>
    <t>Maine</t>
  </si>
  <si>
    <t>Washington</t>
  </si>
  <si>
    <r>
      <rPr>
        <b/>
        <sz val="11"/>
        <color rgb="FF211F1F"/>
        <rFont val="Calibri"/>
        <family val="2"/>
      </rPr>
      <t>Louisiana</t>
    </r>
  </si>
  <si>
    <r>
      <rPr>
        <b/>
        <sz val="11"/>
        <color rgb="FF211F1F"/>
        <rFont val="Calibri"/>
        <family val="2"/>
      </rPr>
      <t>Virginia</t>
    </r>
  </si>
  <si>
    <r>
      <rPr>
        <b/>
        <sz val="11"/>
        <color rgb="FF211F1F"/>
        <rFont val="Calibri"/>
        <family val="2"/>
      </rPr>
      <t>Kentucky</t>
    </r>
  </si>
  <si>
    <r>
      <rPr>
        <b/>
        <sz val="11"/>
        <color rgb="FF211F1F"/>
        <rFont val="Calibri"/>
        <family val="2"/>
      </rPr>
      <t>Vermont</t>
    </r>
  </si>
  <si>
    <r>
      <rPr>
        <b/>
        <sz val="11"/>
        <color rgb="FF211F1F"/>
        <rFont val="Calibri"/>
        <family val="2"/>
      </rPr>
      <t>Kansas</t>
    </r>
  </si>
  <si>
    <r>
      <rPr>
        <b/>
        <sz val="11"/>
        <color rgb="FF211F1F"/>
        <rFont val="Calibri"/>
        <family val="2"/>
      </rPr>
      <t>Utah</t>
    </r>
  </si>
  <si>
    <r>
      <rPr>
        <b/>
        <sz val="11"/>
        <color rgb="FF211F1F"/>
        <rFont val="Calibri"/>
        <family val="2"/>
      </rPr>
      <t>Iowa</t>
    </r>
  </si>
  <si>
    <r>
      <rPr>
        <b/>
        <sz val="11"/>
        <color rgb="FF211F1F"/>
        <rFont val="Calibri"/>
        <family val="2"/>
      </rPr>
      <t>Texas</t>
    </r>
  </si>
  <si>
    <r>
      <rPr>
        <b/>
        <sz val="11"/>
        <color rgb="FF211F1F"/>
        <rFont val="Calibri"/>
        <family val="2"/>
      </rPr>
      <t>Indiana</t>
    </r>
  </si>
  <si>
    <r>
      <rPr>
        <b/>
        <sz val="11"/>
        <color rgb="FF211F1F"/>
        <rFont val="Calibri"/>
        <family val="2"/>
      </rPr>
      <t>Tennessee</t>
    </r>
  </si>
  <si>
    <r>
      <rPr>
        <b/>
        <sz val="11"/>
        <color rgb="FF211F1F"/>
        <rFont val="Calibri"/>
        <family val="2"/>
      </rPr>
      <t>Idaho</t>
    </r>
  </si>
  <si>
    <r>
      <rPr>
        <b/>
        <sz val="11"/>
        <color rgb="FF211F1F"/>
        <rFont val="Calibri"/>
        <family val="2"/>
      </rPr>
      <t>South Dakota</t>
    </r>
  </si>
  <si>
    <r>
      <rPr>
        <b/>
        <sz val="11"/>
        <color rgb="FF211F1F"/>
        <rFont val="Calibri"/>
        <family val="2"/>
      </rPr>
      <t>Hawaii</t>
    </r>
  </si>
  <si>
    <r>
      <rPr>
        <b/>
        <sz val="11"/>
        <color rgb="FF211F1F"/>
        <rFont val="Calibri"/>
        <family val="2"/>
      </rPr>
      <t>South Carolina</t>
    </r>
  </si>
  <si>
    <r>
      <rPr>
        <b/>
        <sz val="11"/>
        <color rgb="FF211F1F"/>
        <rFont val="Calibri"/>
        <family val="2"/>
      </rPr>
      <t>Georgia</t>
    </r>
  </si>
  <si>
    <r>
      <rPr>
        <b/>
        <sz val="11"/>
        <color rgb="FF211F1F"/>
        <rFont val="Calibri"/>
        <family val="2"/>
      </rPr>
      <t>Oregon</t>
    </r>
  </si>
  <si>
    <r>
      <rPr>
        <b/>
        <sz val="11"/>
        <color rgb="FF211F1F"/>
        <rFont val="Calibri"/>
        <family val="2"/>
      </rPr>
      <t>Florida</t>
    </r>
  </si>
  <si>
    <r>
      <rPr>
        <b/>
        <sz val="11"/>
        <color rgb="FF211F1F"/>
        <rFont val="Calibri"/>
        <family val="2"/>
      </rPr>
      <t>Oklahoma</t>
    </r>
  </si>
  <si>
    <r>
      <rPr>
        <b/>
        <sz val="11"/>
        <color rgb="FF211F1F"/>
        <rFont val="Calibri"/>
        <family val="2"/>
      </rPr>
      <t>District of Columbia</t>
    </r>
  </si>
  <si>
    <r>
      <rPr>
        <b/>
        <sz val="11"/>
        <color rgb="FF211F1F"/>
        <rFont val="Calibri"/>
        <family val="2"/>
      </rPr>
      <t>North Dakota</t>
    </r>
  </si>
  <si>
    <r>
      <rPr>
        <b/>
        <sz val="11"/>
        <color rgb="FF211F1F"/>
        <rFont val="Calibri"/>
        <family val="2"/>
      </rPr>
      <t>Connecticut</t>
    </r>
  </si>
  <si>
    <r>
      <rPr>
        <b/>
        <sz val="11"/>
        <color rgb="FF211F1F"/>
        <rFont val="Calibri"/>
        <family val="2"/>
      </rPr>
      <t>North Carolina</t>
    </r>
  </si>
  <si>
    <r>
      <rPr>
        <b/>
        <sz val="11"/>
        <color rgb="FF211F1F"/>
        <rFont val="Calibri"/>
        <family val="2"/>
      </rPr>
      <t>Colorado</t>
    </r>
  </si>
  <si>
    <t>Nevada</t>
  </si>
  <si>
    <t>Nebraska</t>
  </si>
  <si>
    <t>Arkansas</t>
  </si>
  <si>
    <t>Montana</t>
  </si>
  <si>
    <t>Alabama</t>
  </si>
  <si>
    <t>Missouri</t>
  </si>
  <si>
    <t>Arizona</t>
  </si>
  <si>
    <r>
      <rPr>
        <b/>
        <sz val="11"/>
        <color rgb="FFFFFFFF"/>
        <rFont val="Calibri"/>
        <family val="2"/>
      </rPr>
      <t>Standard Prepayment Penalties Allowed</t>
    </r>
  </si>
  <si>
    <t>Professional</t>
  </si>
  <si>
    <t>Min FICO 680</t>
  </si>
  <si>
    <t>Primary Only</t>
  </si>
  <si>
    <t>NA on SELECT</t>
  </si>
  <si>
    <t>YSP (Yield Spread Premium)</t>
  </si>
  <si>
    <t>LPC (Lender Paid Compensation)</t>
  </si>
  <si>
    <t>BPC (Borrower Paid Compensation)</t>
  </si>
  <si>
    <t>Broker Compensation Comp Plan that was selected when signing Broker Package IE: 2.750 No Min No Max, that’s paid by the Lender</t>
  </si>
  <si>
    <t>Broker Compensation Paid directly by the Borrower</t>
  </si>
  <si>
    <t>Extra money that a Lender CAN pay to the Mortgage Broker / Originator or Borrower</t>
  </si>
  <si>
    <t>Business Purpose LPC + YSP Scenarios</t>
  </si>
  <si>
    <t>NonQM LPC Scenarios
Base Price - LLPAs - Adjustments for Max Price = Net Price 
Net Price - LPC = Final Price with LPC</t>
  </si>
  <si>
    <t>1. Scenario with Max Price of 102, LPC Comp of 2.750
After LPC Max Price would be 99.250 (102.000 - 2.750)</t>
  </si>
  <si>
    <t>2. Scenario with Max Price of 102, LPC Comp of 2.000
After LPC Max Price would be 100.000 (102.000 - 2.000)</t>
  </si>
  <si>
    <t>3. Scenario with Max Price of 100.000, LPC Comp of 1.000 
After LPC Max Price would be 99.000 (100.000 - 1.000)</t>
  </si>
  <si>
    <t>4. Scenario with Max Price of 102, LPC Comp of 1.000 
After LPC Max Price would be 101.000 (102.000 - 1.000) 
Lender Credit of 1.000 would be paid to the Borrower</t>
  </si>
  <si>
    <t>1. Business Purpose Sceario with Max Price of 102.000, LPC Comp of 1.500 
Broker Requested YSP to Broker of 1.000 (Max YSP Available 2.000 due to Max Price of 102.000) 
After Broker YSP Max Price of 101.000 (102.000 - 1.000) 
After LPC Max Price of 99.500 (101.000 - 1.500)</t>
  </si>
  <si>
    <t>2. Business Purpose Scenario with Max Price of 102.000, LPC Comp of 2.500
Broker Requested YSP to Broker of 2.000 (Max YSP Available 2.000 due to Max Price of 102.000)
After Broker YSP Max Price 100.000 (102.000 - 2.000)
After LPC Max Price of 97.500 (100.000 - 2.500)</t>
  </si>
  <si>
    <t>3. Business Purpose Scenario with Max Price of 100.000, LPC Comp of 1.000 
In this Scenario NO YSP available (Max YSP Available 0.000 due to Max Price of 100.000)
After Broker YSP Max Price 100.000 (100.000 - 0.000)
After LPC Max Price of 99.000 (100.000 - 1.000)</t>
  </si>
  <si>
    <t>4. Business Purpose Scenario with Max Price of 102.000, LPC Comp of 1.500
Broker Requested YSP to Broker of 0.000 (Max YSP Available 2.000 due to Max Price of 102.000)
After Broker YSP Max Price 102.000 (102.000 - 0.000)
After LPC Max Price of 100.500 (102.000 - 1.500)
Leftover YSP or Lender Credit of 0.500 will now be paid to the borrower</t>
  </si>
  <si>
    <t>Reserves Min for FUSION</t>
  </si>
  <si>
    <t>Min 6 Months Reserves</t>
  </si>
  <si>
    <t>MANUAL LPC CALCULATOR</t>
  </si>
  <si>
    <t>Loan amount</t>
  </si>
  <si>
    <t>LPC %</t>
  </si>
  <si>
    <t>LPC Flat Fee</t>
  </si>
  <si>
    <t xml:space="preserve">Total LPC LLPA </t>
  </si>
  <si>
    <t>Final Price AFTER LPC  →</t>
  </si>
  <si>
    <t>State Tier Adjustment</t>
  </si>
  <si>
    <t>Tier 1 States</t>
  </si>
  <si>
    <t>Tier 2 States</t>
  </si>
  <si>
    <t>Tier 3 States</t>
  </si>
  <si>
    <t>State Tier Adjusment</t>
  </si>
  <si>
    <r>
      <rPr>
        <b/>
        <sz val="11"/>
        <color rgb="FFFFFFFF"/>
        <rFont val="Calibri"/>
        <family val="2"/>
      </rPr>
      <t>STANDARD PREPAYMENT PENALTIES ALLOWED</t>
    </r>
  </si>
  <si>
    <r>
      <rPr>
        <b/>
        <sz val="11"/>
        <color rgb="FFFFFFFF"/>
        <rFont val="Calibri"/>
        <family val="2"/>
      </rPr>
      <t>NO PREPAYMENT PENALTIES ALLOWED</t>
    </r>
  </si>
  <si>
    <r>
      <rPr>
        <b/>
        <sz val="11"/>
        <color rgb="FFFFFFFF"/>
        <rFont val="Calibri"/>
        <family val="2"/>
      </rPr>
      <t>STATES WITH ‘RESTRICTED’ PREPAYMENT PENALTIES</t>
    </r>
  </si>
  <si>
    <r>
      <rPr>
        <b/>
        <u/>
        <sz val="11"/>
        <rFont val="Calibri"/>
        <family val="2"/>
      </rPr>
      <t>No</t>
    </r>
    <r>
      <rPr>
        <b/>
        <sz val="11"/>
        <rFont val="Calibri"/>
        <family val="2"/>
      </rPr>
      <t xml:space="preserve"> PPP allowed when:</t>
    </r>
  </si>
  <si>
    <t>65% LTV MAX C/O for ITIN</t>
  </si>
  <si>
    <t>$250,001-$500,000</t>
  </si>
  <si>
    <t>$500,001-$1,000,000</t>
  </si>
  <si>
    <t>AZ, CA, CO, CT, GA, HI, MA, MD, NJ, NV, OR, SC, UT, VA, WA</t>
  </si>
  <si>
    <t>DC, FL, ID, IL, IN, LA, MI, MN, MO, NC, OH, OK, PA, RI, TN, TX</t>
  </si>
  <si>
    <t>AK, AL, AR, DE, IA, KS, KY, ME, MS, MT, ND, NE, NH, NM, SD, VT WI, WV, WY</t>
  </si>
  <si>
    <t>5-8 Unit Cont</t>
  </si>
  <si>
    <t>DSCR 5-8 RateTerm 720 2.5MM</t>
  </si>
  <si>
    <t>DSCR 5-8 RateTerm 700 2.5MM</t>
  </si>
  <si>
    <t>DSCR 5-8 RateTerm 680 2.5MM</t>
  </si>
  <si>
    <t>DSCR 5-8 RateTerm 720 3.0MM</t>
  </si>
  <si>
    <t>DSCR 5-8 RateTerm 700 3.0MM</t>
  </si>
  <si>
    <t>DSCR 5-8 RateTerm 680 3.0MM</t>
  </si>
  <si>
    <t>DSCR 5-8 Purchase 720 2.5MM</t>
  </si>
  <si>
    <t>DSCR 5-8 Purchase 700 2.5MM</t>
  </si>
  <si>
    <t>DSCR 5-8 Purchase 680 2.5MM</t>
  </si>
  <si>
    <t>DSCR 5-8 CashOut 720 2.5MM</t>
  </si>
  <si>
    <t>DSCR 5-8 CashOut 700 2.5MM</t>
  </si>
  <si>
    <t>DSCR 5-8 CashOut 680 2.5MM</t>
  </si>
  <si>
    <t>DSCR 5-8 Purchase 720 3.0MM</t>
  </si>
  <si>
    <t>DSCR 5-8 Purchase 700 3.0MM</t>
  </si>
  <si>
    <t>DSCR 5-8 Purchase 680 3.0MM</t>
  </si>
  <si>
    <t>DSCR 5-8 CashOut 720 3.0MM</t>
  </si>
  <si>
    <t>DSCR 5-8 CashOut 700 3.0MM</t>
  </si>
  <si>
    <t>DSCR 5-8 CashOut 680 3.0MM</t>
  </si>
  <si>
    <t>5-8 any FICO &gt;3.0mm NA</t>
  </si>
  <si>
    <t>DSCR 5-8 Purchase &gt;720 2.5MM 65 LTV</t>
  </si>
  <si>
    <t>DSCR 5-8 Purchase &gt;700 2.5MM 65 LTV</t>
  </si>
  <si>
    <t>DSCR 5-8 Purchase &gt;680 2.5MM N/A</t>
  </si>
  <si>
    <t>DSCR 5-8 RateTerm &gt;720 2.5MM 60 LTV</t>
  </si>
  <si>
    <t>DSCR 5-8 RateTerm &gt;700 2.5MM 60 LTV</t>
  </si>
  <si>
    <t>DSCR 5-8 RateTerm &gt;680 2.5MM N/A</t>
  </si>
  <si>
    <t>DSCR 5-8 CashOut &gt;720 2.5MM 60 LTV</t>
  </si>
  <si>
    <t>DSCR 5-8 CashOut &gt;700 2.5MM 60 LTV</t>
  </si>
  <si>
    <t>DSCR 5-8 CashOut &gt;680 2.5MM N/A</t>
  </si>
  <si>
    <t>DSCR 5-8 Purchase &gt;720 3.0MM 60 LTV</t>
  </si>
  <si>
    <t>DSCR 5-8 Purchase &gt;700 3.0MM 60 LTV</t>
  </si>
  <si>
    <t>DSCR 5-8 Purchase &gt;680 3.0MM N/A</t>
  </si>
  <si>
    <t>DSCR 5-8 RateTerm &gt;720 3.0MM 55 LTV</t>
  </si>
  <si>
    <t>DSCR 5-8 RateTerm &gt;700 3.0MM 55 LTV</t>
  </si>
  <si>
    <t>DSCR 5-8 RateTerm &gt;680 3.0MM N/A</t>
  </si>
  <si>
    <t>DSCR 5-8 CashOut &gt;720 3.0MM N/A</t>
  </si>
  <si>
    <t>DSCR 5-8 CashOut &gt;700 3.0MM N/A</t>
  </si>
  <si>
    <t>DSCR 5-8 CashOut &gt;680 3.0MM 65 N/A</t>
  </si>
  <si>
    <t>HRCondo Max LTV 75%</t>
  </si>
  <si>
    <t>High Rise Condo</t>
  </si>
  <si>
    <t>No Ratio Pur/R&amp;T N/A &gt;70% Condo</t>
  </si>
  <si>
    <t>No Ratio Cashout N/A &gt;60% Condo</t>
  </si>
  <si>
    <t>25 Bps</t>
  </si>
  <si>
    <t>*Illinois / Cook County</t>
  </si>
  <si>
    <t>All of IL: If closed in the name of an individual and rate  &lt; 8% APR, or is a Business Purpose Loan &amp; closed in a Corporation, or LLC.  **if in Cook County must also be &gt;$250k</t>
  </si>
  <si>
    <t>Normal Rates</t>
  </si>
  <si>
    <t xml:space="preserve">If closed in the name of an individual and 
Rate is = &gt; 8% APR, **if in Cook County &lt; $250K </t>
  </si>
  <si>
    <t>Maximum of 3 years</t>
  </si>
  <si>
    <t>Closed in name of Corp (Inc.) *does NOT include LLC</t>
  </si>
  <si>
    <t>&gt; = $116,356 - effective 1-1-2026 (this adjusts annually); 5 year max</t>
  </si>
  <si>
    <t>&gt;$329,411 - effective 1-1-2026 (this ajusts annually) and 1-2 Unit, or any 3-4 Unit, including 5-8 Units</t>
  </si>
  <si>
    <t>1% of balance prepaid</t>
  </si>
  <si>
    <t>1% of original principal amount</t>
  </si>
  <si>
    <t>Loan is &lt; $116,356</t>
  </si>
  <si>
    <t>&lt;=$329,411 and 1-2 Unit</t>
  </si>
  <si>
    <t>North Dakota (ND)</t>
  </si>
  <si>
    <t>Arizona (AZ)</t>
  </si>
  <si>
    <t>Idaho (ID)</t>
  </si>
  <si>
    <t>Montana (MT)</t>
  </si>
  <si>
    <t>Texas (TX)</t>
  </si>
  <si>
    <t>Alabama (AL)</t>
  </si>
  <si>
    <t>Indiana (IN)</t>
  </si>
  <si>
    <t>Nebraska (NE)</t>
  </si>
  <si>
    <t>Utah (UT)</t>
  </si>
  <si>
    <t>Arkansas (AR)</t>
  </si>
  <si>
    <t>Iowa (IA)</t>
  </si>
  <si>
    <t>Nevada (NV)</t>
  </si>
  <si>
    <t>Vermont (VT)</t>
  </si>
  <si>
    <t>California (CA)</t>
  </si>
  <si>
    <t>Kansas (KS)</t>
  </si>
  <si>
    <t>North Carolina (NC)</t>
  </si>
  <si>
    <t>Virginia (VA)</t>
  </si>
  <si>
    <t>Colorado (CO)</t>
  </si>
  <si>
    <t>Kentucky (KY)</t>
  </si>
  <si>
    <t>Washington (WA)</t>
  </si>
  <si>
    <t>Connecticut (CT)</t>
  </si>
  <si>
    <t>Louisiana (LA)</t>
  </si>
  <si>
    <t>Oklahoma (OK)</t>
  </si>
  <si>
    <t>West Virginia (WV)</t>
  </si>
  <si>
    <t>District of Columbia (DC)</t>
  </si>
  <si>
    <t>Maine (ME)</t>
  </si>
  <si>
    <t>Oregon (OR)</t>
  </si>
  <si>
    <t>Wisconsin (WI)</t>
  </si>
  <si>
    <t>Florida (FL)</t>
  </si>
  <si>
    <t>Massachusetts (MA)</t>
  </si>
  <si>
    <t>South Carolina (SC)</t>
  </si>
  <si>
    <t>Wyoming (WY)</t>
  </si>
  <si>
    <t>Georgia (GA)</t>
  </si>
  <si>
    <t>Mississippi (MS)</t>
  </si>
  <si>
    <t>South Dakota (SD)</t>
  </si>
  <si>
    <t>Hawaii (HI)</t>
  </si>
  <si>
    <t>Missouri (MO)</t>
  </si>
  <si>
    <t>Tennessee (TN)</t>
  </si>
  <si>
    <t>Delaware (DE)</t>
  </si>
  <si>
    <t>New Hampshire (NH)</t>
  </si>
  <si>
    <t>Minnesota (MN)</t>
  </si>
  <si>
    <t>New Mexico (NM)</t>
  </si>
  <si>
    <t>PPP allowed when:</t>
  </si>
  <si>
    <t>PPP Structure</t>
  </si>
  <si>
    <t>Maryland (MD)</t>
  </si>
  <si>
    <t>Michigan (MI)</t>
  </si>
  <si>
    <t>Maximum of 3 years PPP</t>
  </si>
  <si>
    <t>New Jersey (NJ)</t>
  </si>
  <si>
    <t>Ohio (OH)</t>
  </si>
  <si>
    <t>Pennsylvania (PA)</t>
  </si>
  <si>
    <t>Rhode Island (RI)</t>
  </si>
  <si>
    <t>Maximum of 1 year PPP</t>
  </si>
  <si>
    <t>2% of balance prepaid</t>
  </si>
  <si>
    <r>
      <rPr>
        <sz val="11"/>
        <rFont val="Calibri"/>
        <family val="2"/>
      </rPr>
      <t>Alaska (AK) - Express prohibition on PP provisions for business purpose  loans  or  maximum  PP  charge  is  so  low  there’s  no
market for them</t>
    </r>
  </si>
  <si>
    <r>
      <rPr>
        <b/>
        <sz val="12"/>
        <color rgb="FFFF0000"/>
        <rFont val="Calibri"/>
        <family val="2"/>
      </rPr>
      <t xml:space="preserve">For 1st Lien Business Purpose Loans Only
</t>
    </r>
    <r>
      <rPr>
        <b/>
        <u/>
        <sz val="12"/>
        <color rgb="FF000000"/>
        <rFont val="Calibri"/>
        <family val="2"/>
      </rPr>
      <t>Prepay Penalty (PPP) Requirements</t>
    </r>
    <r>
      <rPr>
        <b/>
        <sz val="12"/>
        <color rgb="FF000000"/>
        <rFont val="Calibri"/>
        <family val="2"/>
      </rPr>
      <t xml:space="preserve">
PPP Required on NOO with &gt; 80% LTV
</t>
    </r>
    <r>
      <rPr>
        <b/>
        <u/>
        <sz val="12"/>
        <color rgb="FF000000"/>
        <rFont val="Calibri"/>
        <family val="2"/>
      </rPr>
      <t>PPP Options</t>
    </r>
    <r>
      <rPr>
        <b/>
        <sz val="12"/>
        <color rgb="FF000000"/>
        <rFont val="Calibri"/>
        <family val="2"/>
      </rPr>
      <t xml:space="preserve">
6 months interest on 80% of the Principal Balance;
5% Fixed PPP Option = 5% Penalty on Current Balance
for the duration of the PPP term</t>
    </r>
    <r>
      <rPr>
        <sz val="12"/>
        <color rgb="FF000000"/>
        <rFont val="Calibri"/>
        <family val="2"/>
      </rPr>
      <t xml:space="preserve">                                                                                                                                                          </t>
    </r>
  </si>
  <si>
    <t>24 Months PPP</t>
  </si>
  <si>
    <t>36-60 Months PPP</t>
  </si>
  <si>
    <t>1x60x12 NA for DSCR</t>
  </si>
  <si>
    <t>Baltimore City, MD</t>
  </si>
  <si>
    <t>Distribution Date</t>
  </si>
  <si>
    <t xml:space="preserve"> •  Ineligible States/Geographic Areas : AK, HI, Cook County (IL), NJ, NY, MA   • US Territories ineligible   </t>
  </si>
  <si>
    <t>State Tier Adjustment - Applys to all LTVs</t>
  </si>
  <si>
    <t>30 Year Fixed Only</t>
  </si>
  <si>
    <t>Core Flex LoanStream</t>
  </si>
  <si>
    <t>Core Flex Price Calculator</t>
  </si>
  <si>
    <t>640+</t>
  </si>
  <si>
    <t>580-599</t>
  </si>
  <si>
    <t>540-579</t>
  </si>
  <si>
    <t>500-539</t>
  </si>
  <si>
    <t>Permanent Resident Aliens</t>
  </si>
  <si>
    <t>DTI &gt;40 &lt;=45</t>
  </si>
  <si>
    <t>$200,000-$250,000</t>
  </si>
  <si>
    <t>$500,001-$750,000</t>
  </si>
  <si>
    <t>$750,001-$1,000,000</t>
  </si>
  <si>
    <t>2-4 Units</t>
  </si>
  <si>
    <t>&lt; 60 Months</t>
  </si>
  <si>
    <t>&lt; 6 Months</t>
  </si>
  <si>
    <t>DTI ≤40%</t>
  </si>
  <si>
    <t>Warrantable Condo</t>
  </si>
  <si>
    <t>Cook County (IL)</t>
  </si>
  <si>
    <t>New York</t>
  </si>
  <si>
    <t>Hawaii</t>
  </si>
  <si>
    <t>&gt;$1,250,000</t>
  </si>
  <si>
    <t xml:space="preserve">NAs &gt;$2,500,000 </t>
  </si>
  <si>
    <t>60.01-65% LTV CASHOUT</t>
  </si>
  <si>
    <t>Fico Not yet factored in as Guides limit at lowest available</t>
  </si>
  <si>
    <t>DSCR 740 FICO</t>
  </si>
  <si>
    <t>Max Cashout 740 FICO DSCR is 75% 2MM LN AMT</t>
  </si>
  <si>
    <t>Max Cashout 740 FICO DSCR is 75% 2.5MM LN AMT</t>
  </si>
  <si>
    <t>Max Cashout 740 FICO DSCR is 70% 3MM LN AMT</t>
  </si>
  <si>
    <t>Max Cashout 740 FICO DSCR is 60% 3.5MM LN AMT</t>
  </si>
  <si>
    <t>1x60x12  10% LTV reduction FICO 680-699 Purchase Max 70% &gt;1.5mm</t>
  </si>
  <si>
    <t>= Linked values</t>
  </si>
  <si>
    <t>Max Cashout DSCR FUSION 70LTV</t>
  </si>
  <si>
    <t>DSCR FUSION 70 LTV</t>
  </si>
  <si>
    <t>DSCR 5-8 with loan amount &lt; $350k</t>
  </si>
  <si>
    <t>DSCR 5-8 &lt; 350 K</t>
  </si>
  <si>
    <t>NonQm Select &amp; Core (Incl DSCR 5-8)</t>
  </si>
  <si>
    <t>DSCR 700 FICO</t>
  </si>
  <si>
    <t>Max Cashout 700 FICO DSCR is 75%</t>
  </si>
  <si>
    <t>*YSP allowed up to 102.000, may be paid to borrower on all Loans, or to Broker on Business Purpose Loans only
*YSP &amp; Lender Credit are not Applicable to DSCR 5-8 Unit
*YSP requests must be sent via e-mail to the Lockdesk, AE and AM</t>
  </si>
  <si>
    <t>August Special</t>
  </si>
  <si>
    <t>AZ, CA, CO, CT, GA, MD, NJ, NV, OR, SC, UT, VA, WA</t>
  </si>
  <si>
    <t>AL, AR, DE, IA, KS, KY, ME, MS, MT, ND, NE, NH, NM, SD, VT WI, WV, WY</t>
  </si>
  <si>
    <t xml:space="preserve">*YSP allowed up to 99.500, may be paid to borrower on all loans
</t>
  </si>
  <si>
    <t>Calculator does not verify eligibility. Please use in conjunction with product matrix.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</si>
</sst>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2">
    <numFmt numFmtId="6" formatCode="&quot;$&quot;#,##0_);[Red]\(&quot;$&quot;#,##0\)"/>
    <numFmt numFmtId="44" formatCode="_(&quot;$&quot;* #,##0.00_);_(&quot;$&quot;* \(#,##0.00\);_(&quot;$&quot;* &quot;-&quot;??_);_(@_)"/>
    <numFmt numFmtId="164" formatCode="ddd\,\ mmmm\ \-\ d\ \-\ yyyy"/>
    <numFmt numFmtId="165" formatCode="#,##0.000"/>
    <numFmt numFmtId="166" formatCode="0.000_);\(0.000\)"/>
    <numFmt numFmtId="167" formatCode="0.000;0.000;&quot;Choose a Selection&quot;"/>
    <numFmt numFmtId="168" formatCode="#,##0.000_);\(#,##0.000\)"/>
    <numFmt numFmtId="169" formatCode="0.000"/>
    <numFmt numFmtId="170" formatCode="0.000%"/>
    <numFmt numFmtId="171" formatCode="0;0;&quot;Choose a Selection&quot;"/>
    <numFmt numFmtId="172" formatCode="0.00000"/>
    <numFmt numFmtId="174" formatCode="&quot;$&quot;#,##0.00"/>
  </numFmts>
  <fonts count="109" x14ac:knownFonts="1">
    <font>
      <sz val="11"/>
      <color theme="1"/>
      <name val="Aptos Narrow"/>
      <family val="2"/>
      <scheme val="minor"/>
    </font>
    <font>
      <sz val="11"/>
      <color theme="1"/>
      <name val="Aptos Narrow"/>
      <family val="2"/>
      <scheme val="minor"/>
    </font>
    <font>
      <b/>
      <sz val="11"/>
      <color theme="0"/>
      <name val="Aptos Narrow"/>
      <family val="2"/>
      <scheme val="minor"/>
    </font>
    <font>
      <sz val="11"/>
      <color theme="1"/>
      <name val="Aptos Narrow"/>
      <family val="2"/>
    </font>
    <font>
      <sz val="10"/>
      <name val="Arial"/>
      <family val="2"/>
    </font>
    <font>
      <b/>
      <i/>
      <sz val="10"/>
      <name val="Aptos Narrow"/>
      <family val="2"/>
    </font>
    <font>
      <i/>
      <sz val="10"/>
      <name val="Aptos Narrow"/>
      <family val="2"/>
    </font>
    <font>
      <b/>
      <sz val="11"/>
      <color theme="1"/>
      <name val="Aptos Narrow"/>
      <family val="2"/>
    </font>
    <font>
      <b/>
      <sz val="12"/>
      <color rgb="FFFF0000"/>
      <name val="Aptos Narrow"/>
      <family val="2"/>
    </font>
    <font>
      <b/>
      <sz val="10"/>
      <color theme="1"/>
      <name val="Aptos Narrow"/>
      <family val="2"/>
    </font>
    <font>
      <b/>
      <sz val="10"/>
      <name val="Aptos Narrow"/>
      <family val="2"/>
    </font>
    <font>
      <b/>
      <sz val="11"/>
      <color theme="0"/>
      <name val="Aptos Narrow"/>
      <family val="2"/>
    </font>
    <font>
      <b/>
      <sz val="18"/>
      <color indexed="9"/>
      <name val="Aptos Narrow"/>
      <family val="2"/>
    </font>
    <font>
      <b/>
      <sz val="20"/>
      <color indexed="9"/>
      <name val="Aptos Narrow"/>
      <family val="2"/>
    </font>
    <font>
      <b/>
      <sz val="20"/>
      <color theme="0"/>
      <name val="Aptos Narrow"/>
      <family val="2"/>
    </font>
    <font>
      <b/>
      <sz val="18"/>
      <color theme="0"/>
      <name val="Aptos Narrow"/>
      <family val="2"/>
    </font>
    <font>
      <b/>
      <sz val="12"/>
      <color indexed="9"/>
      <name val="Aptos Narrow"/>
      <family val="2"/>
    </font>
    <font>
      <b/>
      <sz val="11"/>
      <color indexed="9"/>
      <name val="Aptos Narrow"/>
      <family val="2"/>
    </font>
    <font>
      <b/>
      <sz val="10"/>
      <color theme="0"/>
      <name val="Aptos Narrow"/>
      <family val="2"/>
    </font>
    <font>
      <sz val="10"/>
      <color theme="0"/>
      <name val="Aptos Narrow"/>
      <family val="2"/>
    </font>
    <font>
      <sz val="10"/>
      <name val="Aptos Narrow"/>
      <family val="2"/>
    </font>
    <font>
      <sz val="11"/>
      <color theme="0"/>
      <name val="Aptos Narrow"/>
      <family val="2"/>
    </font>
    <font>
      <sz val="11"/>
      <name val="Aptos Narrow"/>
      <family val="2"/>
    </font>
    <font>
      <sz val="11"/>
      <color theme="3"/>
      <name val="Aptos Narrow"/>
      <family val="2"/>
    </font>
    <font>
      <sz val="10"/>
      <color rgb="FF003366"/>
      <name val="Aptos Narrow"/>
      <family val="2"/>
    </font>
    <font>
      <sz val="11"/>
      <name val="Aptos Narrow"/>
      <family val="2"/>
      <scheme val="minor"/>
    </font>
    <font>
      <sz val="11"/>
      <color rgb="FFFF0000"/>
      <name val="Aptos Narrow"/>
      <family val="2"/>
    </font>
    <font>
      <b/>
      <i/>
      <sz val="10"/>
      <color theme="0"/>
      <name val="Aptos Narrow"/>
      <family val="2"/>
    </font>
    <font>
      <b/>
      <sz val="12"/>
      <color theme="0"/>
      <name val="Aptos Narrow"/>
      <family val="2"/>
    </font>
    <font>
      <sz val="10"/>
      <color theme="0"/>
      <name val="Aptos Narrow"/>
      <family val="2"/>
      <scheme val="minor"/>
    </font>
    <font>
      <b/>
      <sz val="10"/>
      <color theme="0"/>
      <name val="Aptos Narrow"/>
      <family val="2"/>
      <scheme val="minor"/>
    </font>
    <font>
      <sz val="10"/>
      <color rgb="FFFF0000"/>
      <name val="Aptos Narrow"/>
      <family val="2"/>
    </font>
    <font>
      <b/>
      <sz val="9"/>
      <color indexed="9"/>
      <name val="Aptos Narrow"/>
      <family val="2"/>
    </font>
    <font>
      <sz val="10"/>
      <color theme="1"/>
      <name val="Aptos Narrow"/>
      <family val="2"/>
    </font>
    <font>
      <sz val="10"/>
      <name val="Aptos Narrow"/>
      <family val="2"/>
      <scheme val="minor"/>
    </font>
    <font>
      <b/>
      <sz val="10"/>
      <color indexed="9"/>
      <name val="Aptos Narrow"/>
      <family val="2"/>
    </font>
    <font>
      <u/>
      <sz val="10"/>
      <color indexed="12"/>
      <name val="Arial"/>
      <family val="2"/>
    </font>
    <font>
      <u/>
      <sz val="10"/>
      <color indexed="12"/>
      <name val="Aptos Narrow"/>
      <family val="2"/>
    </font>
    <font>
      <b/>
      <sz val="10"/>
      <color rgb="FFFF0000"/>
      <name val="Aptos Narrow"/>
      <family val="2"/>
    </font>
    <font>
      <sz val="11"/>
      <color theme="4" tint="-0.499984740745262"/>
      <name val="Aptos Narrow"/>
      <family val="2"/>
    </font>
    <font>
      <sz val="8"/>
      <color theme="1"/>
      <name val="Aptos Narrow"/>
      <family val="2"/>
    </font>
    <font>
      <b/>
      <sz val="12"/>
      <color theme="1"/>
      <name val="Aptos Narrow"/>
      <family val="2"/>
    </font>
    <font>
      <sz val="9"/>
      <color rgb="FFFF0000"/>
      <name val="Aptos Narrow"/>
      <family val="2"/>
    </font>
    <font>
      <sz val="11"/>
      <color theme="4" tint="-0.499984740745262"/>
      <name val="Aptos Narrow"/>
      <family val="2"/>
      <scheme val="minor"/>
    </font>
    <font>
      <b/>
      <sz val="11"/>
      <color theme="1"/>
      <name val="Aptos Narrow"/>
      <family val="2"/>
      <scheme val="minor"/>
    </font>
    <font>
      <b/>
      <sz val="11"/>
      <color theme="1"/>
      <name val="Arial"/>
      <family val="2"/>
    </font>
    <font>
      <sz val="8"/>
      <color theme="1"/>
      <name val="Arial"/>
      <family val="2"/>
    </font>
    <font>
      <sz val="11"/>
      <color theme="1"/>
      <name val="Arial"/>
      <family val="2"/>
    </font>
    <font>
      <sz val="11"/>
      <name val="Arial"/>
      <family val="2"/>
    </font>
    <font>
      <sz val="11"/>
      <color rgb="FF003366"/>
      <name val="Arial"/>
      <family val="2"/>
    </font>
    <font>
      <sz val="10"/>
      <color indexed="8"/>
      <name val="Arial"/>
      <family val="2"/>
    </font>
    <font>
      <sz val="8"/>
      <name val="Arial"/>
      <family val="2"/>
    </font>
    <font>
      <sz val="11"/>
      <color theme="1"/>
      <name val="Calibri"/>
      <family val="2"/>
    </font>
    <font>
      <b/>
      <sz val="11"/>
      <name val="Arial"/>
      <family val="2"/>
    </font>
    <font>
      <b/>
      <sz val="10"/>
      <color indexed="9"/>
      <name val="Arial"/>
      <family val="2"/>
    </font>
    <font>
      <sz val="10"/>
      <color theme="0"/>
      <name val="Arial"/>
      <family val="2"/>
    </font>
    <font>
      <b/>
      <sz val="10"/>
      <color rgb="FF003366"/>
      <name val="Arial"/>
      <family val="2"/>
    </font>
    <font>
      <sz val="10"/>
      <color rgb="FF003366"/>
      <name val="Arial"/>
      <family val="2"/>
    </font>
    <font>
      <b/>
      <sz val="10"/>
      <color theme="0"/>
      <name val="Arial"/>
      <family val="2"/>
    </font>
    <font>
      <sz val="11"/>
      <color rgb="FFFF0000"/>
      <name val="Arial"/>
      <family val="2"/>
    </font>
    <font>
      <sz val="10"/>
      <color theme="1"/>
      <name val="Arial"/>
      <family val="2"/>
    </font>
    <font>
      <sz val="11"/>
      <color rgb="FF0E2841"/>
      <name val="Aptos Narrow"/>
      <family val="2"/>
    </font>
    <font>
      <sz val="8"/>
      <name val="Aptos Narrow"/>
      <family val="2"/>
      <scheme val="minor"/>
    </font>
    <font>
      <b/>
      <sz val="12"/>
      <color rgb="FFFFFF00"/>
      <name val="Aptos Narrow"/>
      <family val="2"/>
    </font>
    <font>
      <sz val="8"/>
      <color theme="5" tint="0.79998168889431442"/>
      <name val="Arial"/>
      <family val="2"/>
    </font>
    <font>
      <b/>
      <sz val="11"/>
      <color theme="5" tint="0.79998168889431442"/>
      <name val="Aptos Narrow"/>
      <family val="2"/>
      <scheme val="minor"/>
    </font>
    <font>
      <sz val="11"/>
      <color theme="5" tint="0.79998168889431442"/>
      <name val="Aptos Narrow"/>
      <family val="2"/>
      <scheme val="minor"/>
    </font>
    <font>
      <sz val="11"/>
      <color theme="5" tint="0.79998168889431442"/>
      <name val="Arial"/>
      <family val="2"/>
    </font>
    <font>
      <sz val="12"/>
      <color theme="1"/>
      <name val="Arial"/>
      <family val="2"/>
    </font>
    <font>
      <sz val="12"/>
      <color theme="1"/>
      <name val="Aptos Narrow"/>
      <family val="2"/>
      <scheme val="minor"/>
    </font>
    <font>
      <sz val="10"/>
      <color rgb="FF000000"/>
      <name val="Times New Roman"/>
      <family val="1"/>
    </font>
    <font>
      <sz val="11"/>
      <color rgb="FF000000"/>
      <name val="Times New Roman"/>
      <family val="1"/>
    </font>
    <font>
      <b/>
      <sz val="11"/>
      <name val="Times New Roman"/>
      <family val="1"/>
    </font>
    <font>
      <b/>
      <sz val="11"/>
      <color rgb="FFFFFFFF"/>
      <name val="Times New Roman"/>
      <family val="1"/>
    </font>
    <font>
      <sz val="11"/>
      <name val="Calibri"/>
      <family val="2"/>
    </font>
    <font>
      <sz val="11"/>
      <color rgb="FF211F1F"/>
      <name val="Calibri"/>
      <family val="2"/>
    </font>
    <font>
      <b/>
      <sz val="11"/>
      <name val="Calibri"/>
      <family val="2"/>
    </font>
    <font>
      <b/>
      <sz val="11"/>
      <color rgb="FF211F1F"/>
      <name val="Calibri"/>
      <family val="2"/>
    </font>
    <font>
      <b/>
      <sz val="11"/>
      <color rgb="FFFFFFFF"/>
      <name val="Calibri"/>
      <family val="2"/>
    </font>
    <font>
      <b/>
      <sz val="11"/>
      <color rgb="FF000000"/>
      <name val="Times New Roman"/>
      <family val="1"/>
    </font>
    <font>
      <sz val="9"/>
      <color theme="0"/>
      <name val="Aptos Narrow"/>
      <family val="2"/>
      <scheme val="minor"/>
    </font>
    <font>
      <b/>
      <sz val="10"/>
      <name val="Aptos Narrow"/>
      <family val="2"/>
      <scheme val="minor"/>
    </font>
    <font>
      <b/>
      <sz val="11"/>
      <name val="Aptos Narrow"/>
      <family val="2"/>
      <scheme val="minor"/>
    </font>
    <font>
      <b/>
      <u/>
      <sz val="11"/>
      <name val="Calibri"/>
      <family val="2"/>
    </font>
    <font>
      <u/>
      <sz val="11"/>
      <color theme="10"/>
      <name val="Aptos Narrow"/>
      <family val="2"/>
      <scheme val="minor"/>
    </font>
    <font>
      <b/>
      <i/>
      <sz val="12"/>
      <color rgb="FFFF0000"/>
      <name val="Aptos Narrow"/>
      <family val="2"/>
    </font>
    <font>
      <b/>
      <i/>
      <u/>
      <sz val="12"/>
      <color theme="0"/>
      <name val="Aptos Narrow"/>
      <family val="2"/>
    </font>
    <font>
      <b/>
      <i/>
      <sz val="11"/>
      <color theme="1"/>
      <name val="Aptos Narrow"/>
      <family val="2"/>
    </font>
    <font>
      <b/>
      <sz val="11"/>
      <color rgb="FF000000"/>
      <name val="Calibri"/>
      <family val="2"/>
    </font>
    <font>
      <sz val="11"/>
      <color rgb="FF000000"/>
      <name val="Calibri"/>
      <family val="2"/>
    </font>
    <font>
      <sz val="10"/>
      <color rgb="FF000000"/>
      <name val="Times New Roman"/>
      <family val="2"/>
      <charset val="204"/>
    </font>
    <font>
      <b/>
      <u/>
      <sz val="12"/>
      <color rgb="FF000000"/>
      <name val="Calibri"/>
      <family val="2"/>
    </font>
    <font>
      <b/>
      <sz val="12"/>
      <color rgb="FF000000"/>
      <name val="Calibri"/>
      <family val="2"/>
    </font>
    <font>
      <sz val="12"/>
      <color rgb="FF000000"/>
      <name val="Calibri"/>
      <family val="2"/>
    </font>
    <font>
      <b/>
      <sz val="12"/>
      <color rgb="FFFF0000"/>
      <name val="Calibri"/>
      <family val="2"/>
    </font>
    <font>
      <sz val="11"/>
      <color rgb="FF0E2841"/>
      <name val="Aptos Narrow"/>
      <family val="2"/>
      <scheme val="minor"/>
    </font>
    <font>
      <i/>
      <sz val="11"/>
      <color theme="0"/>
      <name val="Aptos Narrow"/>
      <family val="2"/>
    </font>
    <font>
      <i/>
      <sz val="10"/>
      <color theme="2" tint="-0.499984740745262"/>
      <name val="Aptos Narrow"/>
      <family val="2"/>
    </font>
    <font>
      <b/>
      <sz val="9"/>
      <name val="Aptos Narrow"/>
      <family val="2"/>
      <scheme val="minor"/>
    </font>
    <font>
      <b/>
      <sz val="10"/>
      <color theme="1"/>
      <name val="Aptos Narrow"/>
      <family val="2"/>
      <scheme val="minor"/>
    </font>
    <font>
      <sz val="9"/>
      <name val="Aptos Narrow"/>
      <family val="2"/>
      <scheme val="minor"/>
    </font>
    <font>
      <b/>
      <sz val="12"/>
      <color theme="0"/>
      <name val="Aptos Narrow"/>
      <family val="2"/>
      <scheme val="minor"/>
    </font>
    <font>
      <b/>
      <sz val="12"/>
      <color rgb="FFFF0000"/>
      <name val="Aptos Narrow"/>
      <family val="2"/>
      <scheme val="minor"/>
    </font>
    <font>
      <b/>
      <sz val="12"/>
      <color theme="1"/>
      <name val="Aptos Narrow"/>
      <family val="2"/>
      <scheme val="minor"/>
    </font>
    <font>
      <b/>
      <sz val="11"/>
      <color rgb="FF003366"/>
      <name val="Arial"/>
      <family val="2"/>
    </font>
    <font>
      <sz val="12"/>
      <color theme="4" tint="-0.499984740745262"/>
      <name val="Aptos Narrow"/>
      <family val="2"/>
      <scheme val="minor"/>
    </font>
    <font>
      <b/>
      <sz val="12"/>
      <color theme="1"/>
      <name val="Arial"/>
      <family val="2"/>
    </font>
    <font>
      <b/>
      <sz val="10"/>
      <color rgb="FF0B3040"/>
      <name val="Aptos Narrow"/>
      <family val="2"/>
      <scheme val="minor"/>
    </font>
    <font>
      <sz val="11"/>
      <color rgb="FF0B3040"/>
      <name val="Aptos Narrow"/>
      <family val="2"/>
    </font>
  </fonts>
  <fills count="49">
    <fill>
      <patternFill patternType="none"/>
    </fill>
    <fill>
      <patternFill patternType="gray125"/>
    </fill>
    <fill>
      <patternFill patternType="darkTrellis">
        <bgColor theme="4" tint="-0.499984740745262"/>
      </patternFill>
    </fill>
    <fill>
      <patternFill patternType="gray0625">
        <bgColor theme="4" tint="-0.499984740745262"/>
      </patternFill>
    </fill>
    <fill>
      <patternFill patternType="mediumGray">
        <bgColor theme="7" tint="-0.24994659260841701"/>
      </patternFill>
    </fill>
    <fill>
      <patternFill patternType="gray0625">
        <bgColor theme="9" tint="-0.499984740745262"/>
      </patternFill>
    </fill>
    <fill>
      <patternFill patternType="mediumGray">
        <bgColor theme="9" tint="-0.499984740745262"/>
      </patternFill>
    </fill>
    <fill>
      <gradientFill type="path" left="0.5" right="0.5" top="0.5" bottom="0.5">
        <stop position="0">
          <color theme="6" tint="-0.49803155613879818"/>
        </stop>
        <stop position="1">
          <color theme="4" tint="-0.49803155613879818"/>
        </stop>
      </gradientFill>
    </fill>
    <fill>
      <gradientFill degree="90">
        <stop position="0">
          <color theme="0"/>
        </stop>
        <stop position="1">
          <color theme="2"/>
        </stop>
      </gradientFill>
    </fill>
    <fill>
      <gradientFill degree="90">
        <stop position="0">
          <color theme="6" tint="-0.49803155613879818"/>
        </stop>
        <stop position="1">
          <color theme="4" tint="-0.49803155613879818"/>
        </stop>
      </gradientFill>
    </fill>
    <fill>
      <patternFill patternType="solid">
        <fgColor theme="0" tint="-4.9989318521683403E-2"/>
        <bgColor indexed="64"/>
      </patternFill>
    </fill>
    <fill>
      <patternFill patternType="darkGray">
        <bgColor theme="4" tint="-0.249977111117893"/>
      </patternFill>
    </fill>
    <fill>
      <patternFill patternType="solid">
        <fgColor theme="1"/>
        <bgColor indexed="64"/>
      </patternFill>
    </fill>
    <fill>
      <patternFill patternType="solid">
        <fgColor theme="4" tint="-0.499984740745262"/>
        <bgColor indexed="64"/>
      </patternFill>
    </fill>
    <fill>
      <patternFill patternType="solid">
        <fgColor indexed="9"/>
        <bgColor indexed="64"/>
      </patternFill>
    </fill>
    <fill>
      <gradientFill type="path" left="0.5" right="0.5" top="0.5" bottom="0.5">
        <stop position="0">
          <color theme="0"/>
        </stop>
        <stop position="1">
          <color rgb="FFF5F5F5"/>
        </stop>
      </gradientFill>
    </fill>
    <fill>
      <patternFill patternType="mediumGray">
        <bgColor theme="4" tint="-0.499984740745262"/>
      </patternFill>
    </fill>
    <fill>
      <patternFill patternType="solid">
        <fgColor rgb="FFFFFF00"/>
        <bgColor indexed="64"/>
      </patternFill>
    </fill>
    <fill>
      <patternFill patternType="solid">
        <fgColor rgb="FF92D050"/>
        <bgColor indexed="64"/>
      </patternFill>
    </fill>
    <fill>
      <patternFill patternType="solid">
        <fgColor theme="3" tint="0.79998168889431442"/>
        <bgColor indexed="64"/>
      </patternFill>
    </fill>
    <fill>
      <patternFill patternType="solid">
        <fgColor indexed="56"/>
        <bgColor indexed="64"/>
      </patternFill>
    </fill>
    <fill>
      <patternFill patternType="solid">
        <fgColor rgb="FF003366"/>
        <bgColor indexed="64"/>
      </patternFill>
    </fill>
    <fill>
      <patternFill patternType="solid">
        <fgColor rgb="FFD6DCE9"/>
        <bgColor indexed="64"/>
      </patternFill>
    </fill>
    <fill>
      <patternFill patternType="solid">
        <fgColor theme="9" tint="0.79998168889431442"/>
        <bgColor indexed="64"/>
      </patternFill>
    </fill>
    <fill>
      <patternFill patternType="solid">
        <fgColor theme="1" tint="0.14999847407452621"/>
        <bgColor auto="1"/>
      </patternFill>
    </fill>
    <fill>
      <patternFill patternType="gray0625">
        <bgColor theme="1" tint="0.14999847407452621"/>
      </patternFill>
    </fill>
    <fill>
      <patternFill patternType="darkGray">
        <bgColor theme="1" tint="0.14999847407452621"/>
      </patternFill>
    </fill>
    <fill>
      <patternFill patternType="solid">
        <fgColor theme="1" tint="0.14999847407452621"/>
        <bgColor indexed="64"/>
      </patternFill>
    </fill>
    <fill>
      <patternFill patternType="darkTrellis">
        <bgColor theme="1" tint="0.14999847407452621"/>
      </patternFill>
    </fill>
    <fill>
      <patternFill patternType="solid">
        <fgColor rgb="FFFC7D20"/>
        <bgColor indexed="64"/>
      </patternFill>
    </fill>
    <fill>
      <patternFill patternType="gray0625">
        <bgColor rgb="FF7030A0"/>
      </patternFill>
    </fill>
    <fill>
      <patternFill patternType="mediumGray">
        <bgColor rgb="FF7030A0"/>
      </patternFill>
    </fill>
    <fill>
      <patternFill patternType="mediumGray">
        <bgColor theme="1" tint="0.14999847407452621"/>
      </patternFill>
    </fill>
    <fill>
      <patternFill patternType="solid">
        <fgColor rgb="FF7030A0"/>
        <bgColor indexed="64"/>
      </patternFill>
    </fill>
    <fill>
      <patternFill patternType="mediumGray">
        <bgColor rgb="FF0C769E"/>
      </patternFill>
    </fill>
    <fill>
      <patternFill patternType="solid">
        <fgColor theme="0"/>
        <bgColor auto="1"/>
      </patternFill>
    </fill>
    <fill>
      <patternFill patternType="solid">
        <fgColor theme="5" tint="0.79998168889431442"/>
        <bgColor indexed="64"/>
      </patternFill>
    </fill>
    <fill>
      <patternFill patternType="gray0625">
        <bgColor rgb="FF0B3040"/>
      </patternFill>
    </fill>
    <fill>
      <patternFill patternType="gray0625">
        <bgColor rgb="FF275317"/>
      </patternFill>
    </fill>
    <fill>
      <patternFill patternType="mediumGray">
        <bgColor rgb="FF275317"/>
      </patternFill>
    </fill>
    <fill>
      <patternFill patternType="solid">
        <fgColor theme="2" tint="-9.9978637043366805E-2"/>
        <bgColor indexed="64"/>
      </patternFill>
    </fill>
    <fill>
      <patternFill patternType="solid">
        <fgColor rgb="FF233F62"/>
      </patternFill>
    </fill>
    <fill>
      <patternFill patternType="solid">
        <fgColor rgb="FFDADADA"/>
      </patternFill>
    </fill>
    <fill>
      <patternFill patternType="solid">
        <fgColor rgb="FFC4D8F0"/>
      </patternFill>
    </fill>
    <fill>
      <patternFill patternType="solid">
        <fgColor rgb="FF445269"/>
      </patternFill>
    </fill>
    <fill>
      <patternFill patternType="solid">
        <fgColor rgb="FF0B3040"/>
        <bgColor indexed="64"/>
      </patternFill>
    </fill>
    <fill>
      <patternFill patternType="solid">
        <fgColor rgb="FF006FC0"/>
      </patternFill>
    </fill>
    <fill>
      <patternFill patternType="solid">
        <fgColor theme="0" tint="-0.14999847407452621"/>
        <bgColor indexed="64"/>
      </patternFill>
    </fill>
    <fill>
      <patternFill patternType="solid">
        <fgColor theme="9" tint="0.59999389629810485"/>
        <bgColor indexed="64"/>
      </patternFill>
    </fill>
  </fills>
  <borders count="94">
    <border>
      <left/>
      <right/>
      <top/>
      <bottom/>
      <diagonal/>
    </border>
    <border>
      <left style="medium">
        <color indexed="64"/>
      </left>
      <right/>
      <top style="medium">
        <color indexed="64"/>
      </top>
      <bottom/>
      <diagonal/>
    </border>
    <border>
      <left/>
      <right style="medium">
        <color indexed="64"/>
      </right>
      <top style="medium">
        <color indexed="64"/>
      </top>
      <bottom/>
      <diagonal/>
    </border>
    <border>
      <left/>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bottom style="thin">
        <color auto="1"/>
      </bottom>
      <diagonal/>
    </border>
    <border>
      <left/>
      <right/>
      <top/>
      <bottom style="thin">
        <color indexed="64"/>
      </bottom>
      <diagonal/>
    </border>
    <border>
      <left/>
      <right style="medium">
        <color indexed="64"/>
      </right>
      <top/>
      <bottom style="thin">
        <color auto="1"/>
      </bottom>
      <diagonal/>
    </border>
    <border>
      <left style="medium">
        <color indexed="64"/>
      </left>
      <right/>
      <top/>
      <bottom/>
      <diagonal/>
    </border>
    <border>
      <left/>
      <right style="medium">
        <color indexed="64"/>
      </right>
      <top/>
      <bottom/>
      <diagonal/>
    </border>
    <border>
      <left/>
      <right style="thin">
        <color indexed="64"/>
      </right>
      <top/>
      <bottom style="thin">
        <color indexed="64"/>
      </bottom>
      <diagonal/>
    </border>
    <border>
      <left/>
      <right/>
      <top/>
      <bottom style="thin">
        <color theme="0" tint="-0.24994659260841701"/>
      </bottom>
      <diagonal/>
    </border>
    <border>
      <left style="medium">
        <color indexed="64"/>
      </left>
      <right style="thin">
        <color indexed="64"/>
      </right>
      <top style="thin">
        <color indexed="64"/>
      </top>
      <bottom style="thin">
        <color indexed="64"/>
      </bottom>
      <diagonal/>
    </border>
    <border>
      <left style="thin">
        <color auto="1"/>
      </left>
      <right style="medium">
        <color indexed="64"/>
      </right>
      <top style="thin">
        <color auto="1"/>
      </top>
      <bottom style="thin">
        <color auto="1"/>
      </bottom>
      <diagonal/>
    </border>
    <border>
      <left style="thin">
        <color indexed="64"/>
      </left>
      <right style="thin">
        <color indexed="64"/>
      </right>
      <top/>
      <bottom style="thin">
        <color indexed="64"/>
      </bottom>
      <diagonal/>
    </border>
    <border>
      <left style="thin">
        <color auto="1"/>
      </left>
      <right style="medium">
        <color indexed="64"/>
      </right>
      <top/>
      <bottom style="thin">
        <color auto="1"/>
      </bottom>
      <diagonal/>
    </border>
    <border>
      <left style="medium">
        <color indexed="64"/>
      </left>
      <right/>
      <top style="thin">
        <color indexed="64"/>
      </top>
      <bottom style="thin">
        <color indexed="64"/>
      </bottom>
      <diagonal/>
    </border>
    <border>
      <left/>
      <right style="thin">
        <color auto="1"/>
      </right>
      <top style="thin">
        <color auto="1"/>
      </top>
      <bottom style="thin">
        <color auto="1"/>
      </bottom>
      <diagonal/>
    </border>
    <border>
      <left/>
      <right/>
      <top style="thin">
        <color theme="0" tint="-0.24994659260841701"/>
      </top>
      <bottom style="thin">
        <color theme="0" tint="-0.24994659260841701"/>
      </bottom>
      <diagonal/>
    </border>
    <border>
      <left style="thin">
        <color auto="1"/>
      </left>
      <right style="thin">
        <color auto="1"/>
      </right>
      <top style="thin">
        <color auto="1"/>
      </top>
      <bottom style="thin">
        <color auto="1"/>
      </bottom>
      <diagonal/>
    </border>
    <border>
      <left/>
      <right/>
      <top style="thin">
        <color theme="0" tint="-0.24994659260841701"/>
      </top>
      <bottom/>
      <diagonal/>
    </border>
    <border>
      <left/>
      <right/>
      <top style="thin">
        <color auto="1"/>
      </top>
      <bottom style="thin">
        <color auto="1"/>
      </bottom>
      <diagonal/>
    </border>
    <border>
      <left/>
      <right/>
      <top style="thin">
        <color indexed="64"/>
      </top>
      <bottom/>
      <diagonal/>
    </border>
    <border>
      <left/>
      <right style="medium">
        <color indexed="64"/>
      </right>
      <top style="thin">
        <color indexed="64"/>
      </top>
      <bottom/>
      <diagonal/>
    </border>
    <border>
      <left/>
      <right style="medium">
        <color indexed="64"/>
      </right>
      <top style="thin">
        <color auto="1"/>
      </top>
      <bottom style="thin">
        <color auto="1"/>
      </bottom>
      <diagonal/>
    </border>
    <border>
      <left style="medium">
        <color indexed="64"/>
      </left>
      <right/>
      <top style="thin">
        <color indexed="64"/>
      </top>
      <bottom/>
      <diagonal/>
    </border>
    <border>
      <left style="thin">
        <color auto="1"/>
      </left>
      <right/>
      <top style="thin">
        <color auto="1"/>
      </top>
      <bottom style="thin">
        <color auto="1"/>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right/>
      <top/>
      <bottom style="medium">
        <color indexed="64"/>
      </bottom>
      <diagonal/>
    </border>
    <border>
      <left style="medium">
        <color indexed="64"/>
      </left>
      <right/>
      <top style="medium">
        <color indexed="64"/>
      </top>
      <bottom style="thin">
        <color auto="1"/>
      </bottom>
      <diagonal/>
    </border>
    <border>
      <left/>
      <right style="thin">
        <color auto="1"/>
      </right>
      <top style="medium">
        <color indexed="64"/>
      </top>
      <bottom style="thin">
        <color auto="1"/>
      </bottom>
      <diagonal/>
    </border>
    <border>
      <left/>
      <right/>
      <top style="medium">
        <color indexed="64"/>
      </top>
      <bottom style="thin">
        <color theme="0" tint="-0.2499465926084170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diagonal/>
    </border>
    <border>
      <left/>
      <right style="thin">
        <color theme="3"/>
      </right>
      <top style="medium">
        <color indexed="64"/>
      </top>
      <bottom/>
      <diagonal/>
    </border>
    <border>
      <left style="thin">
        <color auto="1"/>
      </left>
      <right style="medium">
        <color indexed="64"/>
      </right>
      <top style="medium">
        <color indexed="64"/>
      </top>
      <bottom/>
      <diagonal/>
    </border>
    <border>
      <left style="thin">
        <color auto="1"/>
      </left>
      <right style="thin">
        <color auto="1"/>
      </right>
      <top style="medium">
        <color indexed="64"/>
      </top>
      <bottom/>
      <diagonal/>
    </border>
    <border>
      <left style="medium">
        <color indexed="64"/>
      </left>
      <right style="thin">
        <color theme="0" tint="-0.24994659260841701"/>
      </right>
      <top style="medium">
        <color indexed="64"/>
      </top>
      <bottom style="thin">
        <color theme="0" tint="-0.24994659260841701"/>
      </bottom>
      <diagonal/>
    </border>
    <border>
      <left style="thin">
        <color theme="0" tint="-0.24994659260841701"/>
      </left>
      <right style="thin">
        <color theme="0" tint="-0.24994659260841701"/>
      </right>
      <top style="medium">
        <color indexed="64"/>
      </top>
      <bottom style="thin">
        <color theme="0" tint="-0.24994659260841701"/>
      </bottom>
      <diagonal/>
    </border>
    <border>
      <left style="thin">
        <color theme="0" tint="-0.24994659260841701"/>
      </left>
      <right style="thin">
        <color indexed="64"/>
      </right>
      <top style="medium">
        <color indexed="64"/>
      </top>
      <bottom style="thin">
        <color theme="0" tint="-0.24994659260841701"/>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medium">
        <color indexed="64"/>
      </left>
      <right style="thin">
        <color theme="0" tint="-0.24994659260841701"/>
      </right>
      <top style="thin">
        <color theme="0" tint="-0.24994659260841701"/>
      </top>
      <bottom style="thin">
        <color theme="0" tint="-0.24994659260841701"/>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thin">
        <color theme="0" tint="-0.24994659260841701"/>
      </left>
      <right style="thin">
        <color indexed="64"/>
      </right>
      <top style="thin">
        <color theme="0" tint="-0.24994659260841701"/>
      </top>
      <bottom style="thin">
        <color theme="0" tint="-0.24994659260841701"/>
      </bottom>
      <diagonal/>
    </border>
    <border>
      <left/>
      <right/>
      <top style="medium">
        <color indexed="64"/>
      </top>
      <bottom style="thin">
        <color auto="1"/>
      </bottom>
      <diagonal/>
    </border>
    <border>
      <left/>
      <right style="medium">
        <color indexed="64"/>
      </right>
      <top style="medium">
        <color indexed="64"/>
      </top>
      <bottom style="thin">
        <color auto="1"/>
      </bottom>
      <diagonal/>
    </border>
    <border>
      <left style="medium">
        <color indexed="64"/>
      </left>
      <right style="medium">
        <color indexed="64"/>
      </right>
      <top style="medium">
        <color indexed="64"/>
      </top>
      <bottom style="thin">
        <color auto="1"/>
      </bottom>
      <diagonal/>
    </border>
    <border>
      <left style="medium">
        <color indexed="64"/>
      </left>
      <right style="medium">
        <color indexed="64"/>
      </right>
      <top/>
      <bottom/>
      <diagonal/>
    </border>
    <border>
      <left style="medium">
        <color indexed="64"/>
      </left>
      <right style="medium">
        <color indexed="64"/>
      </right>
      <top style="medium">
        <color indexed="64"/>
      </top>
      <bottom style="medium">
        <color indexed="64"/>
      </bottom>
      <diagonal/>
    </border>
    <border>
      <left style="thin">
        <color indexed="64"/>
      </left>
      <right/>
      <top/>
      <bottom style="thin">
        <color indexed="64"/>
      </bottom>
      <diagonal/>
    </border>
    <border>
      <left style="medium">
        <color indexed="64"/>
      </left>
      <right/>
      <top style="thin">
        <color indexed="64"/>
      </top>
      <bottom style="medium">
        <color indexed="64"/>
      </bottom>
      <diagonal/>
    </border>
    <border>
      <left/>
      <right style="thin">
        <color auto="1"/>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right style="medium">
        <color indexed="64"/>
      </right>
      <top style="thin">
        <color auto="1"/>
      </top>
      <bottom style="medium">
        <color indexed="64"/>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medium">
        <color indexed="64"/>
      </left>
      <right style="thin">
        <color indexed="64"/>
      </right>
      <top/>
      <bottom style="thin">
        <color indexed="64"/>
      </bottom>
      <diagonal/>
    </border>
    <border>
      <left style="medium">
        <color indexed="64"/>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style="thin">
        <color auto="1"/>
      </right>
      <top/>
      <bottom style="medium">
        <color indexed="64"/>
      </bottom>
      <diagonal/>
    </border>
    <border>
      <left style="thin">
        <color indexed="64"/>
      </left>
      <right style="medium">
        <color indexed="64"/>
      </right>
      <top/>
      <bottom style="medium">
        <color indexed="64"/>
      </bottom>
      <diagonal/>
    </border>
    <border>
      <left style="thin">
        <color rgb="FF7E7E7E"/>
      </left>
      <right/>
      <top style="thin">
        <color rgb="FF7E7E7E"/>
      </top>
      <bottom style="thin">
        <color rgb="FF7E7E7E"/>
      </bottom>
      <diagonal/>
    </border>
    <border>
      <left/>
      <right/>
      <top style="thin">
        <color rgb="FF7E7E7E"/>
      </top>
      <bottom style="thin">
        <color rgb="FF7E7E7E"/>
      </bottom>
      <diagonal/>
    </border>
    <border>
      <left/>
      <right style="thin">
        <color rgb="FF7E7E7E"/>
      </right>
      <top style="thin">
        <color rgb="FF7E7E7E"/>
      </top>
      <bottom style="thin">
        <color rgb="FF7E7E7E"/>
      </bottom>
      <diagonal/>
    </border>
    <border>
      <left style="thin">
        <color rgb="FF7E7E7E"/>
      </left>
      <right style="thin">
        <color rgb="FF7E7E7E"/>
      </right>
      <top style="thin">
        <color rgb="FF7E7E7E"/>
      </top>
      <bottom style="thin">
        <color rgb="FF7E7E7E"/>
      </bottom>
      <diagonal/>
    </border>
    <border>
      <left style="thin">
        <color rgb="FF7E7E7E"/>
      </left>
      <right/>
      <top style="thin">
        <color rgb="FF7E7E7E"/>
      </top>
      <bottom/>
      <diagonal/>
    </border>
    <border>
      <left/>
      <right style="thin">
        <color rgb="FF7E7E7E"/>
      </right>
      <top style="thin">
        <color rgb="FF7E7E7E"/>
      </top>
      <bottom/>
      <diagonal/>
    </border>
    <border>
      <left style="thin">
        <color rgb="FF7E7E7E"/>
      </left>
      <right/>
      <top/>
      <bottom style="thin">
        <color rgb="FF7E7E7E"/>
      </bottom>
      <diagonal/>
    </border>
    <border>
      <left/>
      <right style="thin">
        <color rgb="FF7E7E7E"/>
      </right>
      <top/>
      <bottom style="thin">
        <color rgb="FF7E7E7E"/>
      </bottom>
      <diagonal/>
    </border>
    <border>
      <left style="thin">
        <color indexed="64"/>
      </left>
      <right/>
      <top style="medium">
        <color indexed="64"/>
      </top>
      <bottom/>
      <diagonal/>
    </border>
    <border>
      <left style="medium">
        <color indexed="64"/>
      </left>
      <right style="thin">
        <color indexed="64"/>
      </right>
      <top style="medium">
        <color indexed="64"/>
      </top>
      <bottom/>
      <diagonal/>
    </border>
    <border>
      <left/>
      <right/>
      <top/>
      <bottom style="thin">
        <color rgb="FF7E7E7E"/>
      </bottom>
      <diagonal/>
    </border>
    <border>
      <left style="medium">
        <color theme="0" tint="-0.249977111117893"/>
      </left>
      <right/>
      <top/>
      <bottom/>
      <diagonal/>
    </border>
    <border>
      <left style="thin">
        <color theme="0" tint="-0.249977111117893"/>
      </left>
      <right/>
      <top style="thin">
        <color theme="0" tint="-0.249977111117893"/>
      </top>
      <bottom style="thin">
        <color theme="0" tint="-0.249977111117893"/>
      </bottom>
      <diagonal/>
    </border>
    <border>
      <left/>
      <right/>
      <top style="thin">
        <color theme="0" tint="-0.249977111117893"/>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thin">
        <color indexed="64"/>
      </left>
      <right/>
      <top style="thin">
        <color indexed="64"/>
      </top>
      <bottom style="medium">
        <color indexed="64"/>
      </bottom>
      <diagonal/>
    </border>
    <border>
      <left style="medium">
        <color indexed="64"/>
      </left>
      <right style="thin">
        <color theme="0" tint="-0.24994659260841701"/>
      </right>
      <top/>
      <bottom style="thin">
        <color theme="0" tint="-0.24994659260841701"/>
      </bottom>
      <diagonal/>
    </border>
    <border>
      <left style="thin">
        <color theme="0" tint="-0.24994659260841701"/>
      </left>
      <right style="thin">
        <color theme="0" tint="-0.24994659260841701"/>
      </right>
      <top/>
      <bottom style="thin">
        <color theme="0" tint="-0.24994659260841701"/>
      </bottom>
      <diagonal/>
    </border>
  </borders>
  <cellStyleXfs count="8">
    <xf numFmtId="0" fontId="0" fillId="0" borderId="0"/>
    <xf numFmtId="9" fontId="1" fillId="0" borderId="0" applyFont="0" applyFill="0" applyBorder="0" applyAlignment="0" applyProtection="0"/>
    <xf numFmtId="0" fontId="4" fillId="0" borderId="0"/>
    <xf numFmtId="0" fontId="36" fillId="0" borderId="0" applyNumberFormat="0" applyFill="0" applyBorder="0" applyAlignment="0" applyProtection="0"/>
    <xf numFmtId="44" fontId="1" fillId="0" borderId="0" applyFont="0" applyFill="0" applyBorder="0" applyAlignment="0" applyProtection="0"/>
    <xf numFmtId="0" fontId="50" fillId="0" borderId="0"/>
    <xf numFmtId="0" fontId="70" fillId="0" borderId="0"/>
    <xf numFmtId="0" fontId="84" fillId="0" borderId="0" applyNumberFormat="0" applyFill="0" applyBorder="0" applyAlignment="0" applyProtection="0"/>
  </cellStyleXfs>
  <cellXfs count="1038">
    <xf numFmtId="0" fontId="0" fillId="0" borderId="0" xfId="0"/>
    <xf numFmtId="0" fontId="3" fillId="0" borderId="0" xfId="0" applyFont="1" applyProtection="1">
      <protection hidden="1"/>
    </xf>
    <xf numFmtId="0" fontId="5" fillId="0" borderId="0" xfId="2" applyFont="1" applyAlignment="1" applyProtection="1">
      <alignment vertical="center"/>
      <protection hidden="1"/>
    </xf>
    <xf numFmtId="0" fontId="3" fillId="0" borderId="0" xfId="0" applyFont="1"/>
    <xf numFmtId="0" fontId="6" fillId="0" borderId="0" xfId="2" applyFont="1" applyAlignment="1" applyProtection="1">
      <alignment vertical="center"/>
      <protection hidden="1"/>
    </xf>
    <xf numFmtId="0" fontId="7" fillId="0" borderId="0" xfId="0" applyFont="1" applyAlignment="1" applyProtection="1">
      <alignment vertical="center"/>
      <protection hidden="1"/>
    </xf>
    <xf numFmtId="0" fontId="8" fillId="0" borderId="0" xfId="0" applyFont="1" applyAlignment="1" applyProtection="1">
      <alignment vertical="top"/>
      <protection hidden="1"/>
    </xf>
    <xf numFmtId="0" fontId="8" fillId="0" borderId="0" xfId="0" applyFont="1" applyAlignment="1" applyProtection="1">
      <alignment horizontal="right" vertical="top"/>
      <protection hidden="1"/>
    </xf>
    <xf numFmtId="0" fontId="3" fillId="0" borderId="0" xfId="0" applyFont="1" applyAlignment="1" applyProtection="1">
      <alignment horizontal="right"/>
      <protection hidden="1"/>
    </xf>
    <xf numFmtId="0" fontId="9" fillId="0" borderId="0" xfId="0" applyFont="1" applyAlignment="1" applyProtection="1">
      <alignment vertical="center"/>
      <protection hidden="1"/>
    </xf>
    <xf numFmtId="164" fontId="10" fillId="0" borderId="0" xfId="0" applyNumberFormat="1" applyFont="1" applyAlignment="1" applyProtection="1">
      <alignment horizontal="center" vertical="center"/>
      <protection hidden="1"/>
    </xf>
    <xf numFmtId="165" fontId="11" fillId="2" borderId="0" xfId="1" applyNumberFormat="1" applyFont="1" applyFill="1" applyBorder="1" applyAlignment="1" applyProtection="1">
      <alignment horizontal="center" vertical="center"/>
      <protection hidden="1"/>
    </xf>
    <xf numFmtId="0" fontId="13" fillId="2" borderId="0" xfId="2" applyFont="1" applyFill="1" applyAlignment="1" applyProtection="1">
      <alignment vertical="center"/>
      <protection hidden="1"/>
    </xf>
    <xf numFmtId="0" fontId="14" fillId="2" borderId="0" xfId="0" quotePrefix="1" applyFont="1" applyFill="1" applyAlignment="1" applyProtection="1">
      <alignment vertical="center" wrapText="1"/>
      <protection hidden="1"/>
    </xf>
    <xf numFmtId="0" fontId="3" fillId="2" borderId="0" xfId="0" applyFont="1" applyFill="1" applyProtection="1">
      <protection hidden="1"/>
    </xf>
    <xf numFmtId="165" fontId="11" fillId="4" borderId="9" xfId="1" applyNumberFormat="1" applyFont="1" applyFill="1" applyBorder="1" applyAlignment="1" applyProtection="1">
      <alignment horizontal="center" vertical="center"/>
      <protection hidden="1"/>
    </xf>
    <xf numFmtId="165" fontId="11" fillId="4" borderId="10" xfId="1" applyNumberFormat="1" applyFont="1" applyFill="1" applyBorder="1" applyAlignment="1" applyProtection="1">
      <alignment horizontal="center" vertical="center"/>
      <protection hidden="1"/>
    </xf>
    <xf numFmtId="165" fontId="11" fillId="4" borderId="0" xfId="1" applyNumberFormat="1" applyFont="1" applyFill="1" applyBorder="1" applyAlignment="1" applyProtection="1">
      <alignment horizontal="center" vertical="center"/>
      <protection hidden="1"/>
    </xf>
    <xf numFmtId="0" fontId="16" fillId="2" borderId="0" xfId="2" applyFont="1" applyFill="1" applyProtection="1">
      <protection hidden="1"/>
    </xf>
    <xf numFmtId="0" fontId="16" fillId="5" borderId="9" xfId="2" applyFont="1" applyFill="1" applyBorder="1" applyAlignment="1" applyProtection="1">
      <alignment vertical="center"/>
      <protection hidden="1"/>
    </xf>
    <xf numFmtId="0" fontId="16" fillId="5" borderId="0" xfId="2" applyFont="1" applyFill="1" applyAlignment="1" applyProtection="1">
      <alignment vertical="center"/>
      <protection hidden="1"/>
    </xf>
    <xf numFmtId="0" fontId="16" fillId="5" borderId="0" xfId="2" applyFont="1" applyFill="1" applyAlignment="1" applyProtection="1">
      <alignment horizontal="center" vertical="center"/>
      <protection hidden="1"/>
    </xf>
    <xf numFmtId="0" fontId="16" fillId="5" borderId="10" xfId="2" applyFont="1" applyFill="1" applyBorder="1" applyAlignment="1" applyProtection="1">
      <alignment vertical="center"/>
      <protection hidden="1"/>
    </xf>
    <xf numFmtId="165" fontId="11" fillId="6" borderId="9" xfId="1" applyNumberFormat="1" applyFont="1" applyFill="1" applyBorder="1" applyAlignment="1" applyProtection="1">
      <alignment horizontal="center" vertical="center"/>
      <protection hidden="1"/>
    </xf>
    <xf numFmtId="165" fontId="11" fillId="6" borderId="10" xfId="1" applyNumberFormat="1" applyFont="1" applyFill="1" applyBorder="1" applyAlignment="1" applyProtection="1">
      <alignment horizontal="center" vertical="center"/>
      <protection hidden="1"/>
    </xf>
    <xf numFmtId="165" fontId="11" fillId="6" borderId="0" xfId="1" applyNumberFormat="1" applyFont="1" applyFill="1" applyBorder="1" applyAlignment="1" applyProtection="1">
      <alignment horizontal="center" vertical="center"/>
      <protection hidden="1"/>
    </xf>
    <xf numFmtId="165" fontId="18" fillId="2" borderId="0" xfId="1" applyNumberFormat="1" applyFont="1" applyFill="1" applyBorder="1" applyAlignment="1" applyProtection="1">
      <alignment horizontal="center" vertical="center"/>
      <protection hidden="1"/>
    </xf>
    <xf numFmtId="167" fontId="20" fillId="8" borderId="12" xfId="0" applyNumberFormat="1" applyFont="1" applyFill="1" applyBorder="1" applyAlignment="1" applyProtection="1">
      <alignment horizontal="center" vertical="center"/>
      <protection locked="0" hidden="1"/>
    </xf>
    <xf numFmtId="166" fontId="11" fillId="7" borderId="13" xfId="0" applyNumberFormat="1" applyFont="1" applyFill="1" applyBorder="1" applyAlignment="1" applyProtection="1">
      <alignment horizontal="center" vertical="top"/>
      <protection hidden="1"/>
    </xf>
    <xf numFmtId="168" fontId="22" fillId="0" borderId="15" xfId="1" applyNumberFormat="1" applyFont="1" applyFill="1" applyBorder="1" applyAlignment="1" applyProtection="1">
      <alignment horizontal="center" vertical="center"/>
      <protection hidden="1"/>
    </xf>
    <xf numFmtId="168" fontId="22" fillId="0" borderId="16" xfId="1" applyNumberFormat="1" applyFont="1" applyFill="1" applyBorder="1" applyAlignment="1" applyProtection="1">
      <alignment horizontal="center" vertical="center"/>
      <protection hidden="1"/>
    </xf>
    <xf numFmtId="165" fontId="20" fillId="2" borderId="0" xfId="1" applyNumberFormat="1" applyFont="1" applyFill="1" applyBorder="1" applyAlignment="1" applyProtection="1">
      <alignment horizontal="center" vertical="center"/>
      <protection hidden="1"/>
    </xf>
    <xf numFmtId="0" fontId="20" fillId="8" borderId="19" xfId="0" applyFont="1" applyFill="1" applyBorder="1" applyAlignment="1" applyProtection="1">
      <alignment horizontal="center" vertical="center"/>
      <protection locked="0" hidden="1"/>
    </xf>
    <xf numFmtId="168" fontId="3" fillId="0" borderId="0" xfId="0" applyNumberFormat="1" applyFont="1" applyProtection="1">
      <protection hidden="1"/>
    </xf>
    <xf numFmtId="166" fontId="11" fillId="7" borderId="6" xfId="0" applyNumberFormat="1" applyFont="1" applyFill="1" applyBorder="1" applyAlignment="1" applyProtection="1">
      <alignment horizontal="center" vertical="top"/>
      <protection hidden="1"/>
    </xf>
    <xf numFmtId="168" fontId="22" fillId="0" borderId="20" xfId="1" applyNumberFormat="1" applyFont="1" applyFill="1" applyBorder="1" applyAlignment="1" applyProtection="1">
      <alignment horizontal="center" vertical="center"/>
      <protection hidden="1"/>
    </xf>
    <xf numFmtId="168" fontId="22" fillId="0" borderId="14" xfId="1" applyNumberFormat="1" applyFont="1" applyFill="1" applyBorder="1" applyAlignment="1" applyProtection="1">
      <alignment horizontal="center" vertical="center"/>
      <protection hidden="1"/>
    </xf>
    <xf numFmtId="165" fontId="23" fillId="0" borderId="14" xfId="1" applyNumberFormat="1" applyFont="1" applyFill="1" applyBorder="1" applyAlignment="1" applyProtection="1">
      <alignment horizontal="center" vertical="center"/>
      <protection hidden="1"/>
    </xf>
    <xf numFmtId="165" fontId="24" fillId="2" borderId="0" xfId="1" applyNumberFormat="1" applyFont="1" applyFill="1" applyBorder="1" applyAlignment="1" applyProtection="1">
      <alignment horizontal="center" vertical="center"/>
      <protection hidden="1"/>
    </xf>
    <xf numFmtId="166" fontId="22" fillId="7" borderId="8" xfId="0" applyNumberFormat="1" applyFont="1" applyFill="1" applyBorder="1" applyAlignment="1" applyProtection="1">
      <alignment horizontal="center" vertical="center"/>
      <protection hidden="1"/>
    </xf>
    <xf numFmtId="166" fontId="22" fillId="7" borderId="11" xfId="0" applyNumberFormat="1" applyFont="1" applyFill="1" applyBorder="1" applyAlignment="1" applyProtection="1">
      <alignment horizontal="center" vertical="center"/>
      <protection hidden="1"/>
    </xf>
    <xf numFmtId="165" fontId="11" fillId="4" borderId="6" xfId="1" applyNumberFormat="1" applyFont="1" applyFill="1" applyBorder="1" applyAlignment="1" applyProtection="1">
      <alignment horizontal="center" vertical="center"/>
      <protection hidden="1"/>
    </xf>
    <xf numFmtId="165" fontId="11" fillId="4" borderId="7" xfId="1" applyNumberFormat="1" applyFont="1" applyFill="1" applyBorder="1" applyAlignment="1" applyProtection="1">
      <alignment horizontal="center" vertical="center"/>
      <protection hidden="1"/>
    </xf>
    <xf numFmtId="165" fontId="11" fillId="4" borderId="8" xfId="1" applyNumberFormat="1" applyFont="1" applyFill="1" applyBorder="1" applyAlignment="1" applyProtection="1">
      <alignment horizontal="center" vertical="center"/>
      <protection hidden="1"/>
    </xf>
    <xf numFmtId="166" fontId="25" fillId="0" borderId="20" xfId="0" applyNumberFormat="1" applyFont="1" applyBorder="1" applyAlignment="1" applyProtection="1">
      <alignment horizontal="center" vertical="top"/>
      <protection hidden="1"/>
    </xf>
    <xf numFmtId="166" fontId="25" fillId="0" borderId="14" xfId="0" applyNumberFormat="1" applyFont="1" applyBorder="1" applyAlignment="1" applyProtection="1">
      <alignment horizontal="center" vertical="top"/>
      <protection hidden="1"/>
    </xf>
    <xf numFmtId="0" fontId="7" fillId="0" borderId="0" xfId="0" applyFont="1" applyProtection="1">
      <protection hidden="1"/>
    </xf>
    <xf numFmtId="0" fontId="26" fillId="0" borderId="0" xfId="0" applyFont="1" applyProtection="1">
      <protection hidden="1"/>
    </xf>
    <xf numFmtId="0" fontId="20" fillId="8" borderId="21" xfId="0" applyFont="1" applyFill="1" applyBorder="1" applyAlignment="1" applyProtection="1">
      <alignment horizontal="center" vertical="center"/>
      <protection locked="0" hidden="1"/>
    </xf>
    <xf numFmtId="0" fontId="20" fillId="8" borderId="21" xfId="0" applyFont="1" applyFill="1" applyBorder="1" applyAlignment="1" applyProtection="1">
      <alignment horizontal="center" vertical="center"/>
      <protection hidden="1"/>
    </xf>
    <xf numFmtId="169" fontId="24" fillId="2" borderId="0" xfId="0" quotePrefix="1" applyNumberFormat="1" applyFont="1" applyFill="1" applyAlignment="1" applyProtection="1">
      <alignment horizontal="right" vertical="center"/>
      <protection hidden="1"/>
    </xf>
    <xf numFmtId="169" fontId="28" fillId="12" borderId="14" xfId="0" applyNumberFormat="1" applyFont="1" applyFill="1" applyBorder="1" applyAlignment="1" applyProtection="1">
      <alignment horizontal="center" vertical="center"/>
      <protection hidden="1"/>
    </xf>
    <xf numFmtId="169" fontId="22" fillId="2" borderId="0" xfId="0" quotePrefix="1" applyNumberFormat="1" applyFont="1" applyFill="1" applyAlignment="1" applyProtection="1">
      <alignment horizontal="center"/>
      <protection hidden="1"/>
    </xf>
    <xf numFmtId="166" fontId="30" fillId="2" borderId="0" xfId="0" applyNumberFormat="1" applyFont="1" applyFill="1" applyAlignment="1" applyProtection="1">
      <alignment vertical="top"/>
      <protection hidden="1"/>
    </xf>
    <xf numFmtId="0" fontId="3" fillId="2" borderId="0" xfId="0" applyFont="1" applyFill="1"/>
    <xf numFmtId="165" fontId="11" fillId="6" borderId="0" xfId="1" applyNumberFormat="1" applyFont="1" applyFill="1" applyBorder="1" applyAlignment="1" applyProtection="1">
      <alignment vertical="center"/>
      <protection hidden="1"/>
    </xf>
    <xf numFmtId="170" fontId="31" fillId="2" borderId="18" xfId="0" quotePrefix="1" applyNumberFormat="1" applyFont="1" applyFill="1" applyBorder="1" applyAlignment="1" applyProtection="1">
      <alignment vertical="center" wrapText="1"/>
      <protection hidden="1"/>
    </xf>
    <xf numFmtId="0" fontId="17" fillId="5" borderId="0" xfId="2" applyFont="1" applyFill="1" applyProtection="1">
      <protection hidden="1"/>
    </xf>
    <xf numFmtId="0" fontId="32" fillId="2" borderId="0" xfId="2" applyFont="1" applyFill="1" applyAlignment="1" applyProtection="1">
      <alignment vertical="center"/>
      <protection hidden="1"/>
    </xf>
    <xf numFmtId="0" fontId="3" fillId="2" borderId="0" xfId="0" quotePrefix="1" applyFont="1" applyFill="1" applyAlignment="1" applyProtection="1">
      <alignment vertical="center"/>
      <protection hidden="1"/>
    </xf>
    <xf numFmtId="0" fontId="21" fillId="2" borderId="0" xfId="0" applyFont="1" applyFill="1" applyAlignment="1">
      <alignment horizontal="center"/>
    </xf>
    <xf numFmtId="0" fontId="3" fillId="10" borderId="13" xfId="0" applyFont="1" applyFill="1" applyBorder="1" applyAlignment="1" applyProtection="1">
      <alignment horizontal="center" vertical="center"/>
      <protection hidden="1"/>
    </xf>
    <xf numFmtId="166" fontId="25" fillId="0" borderId="14" xfId="0" quotePrefix="1" applyNumberFormat="1" applyFont="1" applyBorder="1" applyAlignment="1" applyProtection="1">
      <alignment horizontal="center" vertical="center"/>
      <protection hidden="1"/>
    </xf>
    <xf numFmtId="0" fontId="3" fillId="2" borderId="0" xfId="0" quotePrefix="1" applyFont="1" applyFill="1" applyAlignment="1" applyProtection="1">
      <alignment horizontal="center" vertical="center"/>
      <protection hidden="1"/>
    </xf>
    <xf numFmtId="0" fontId="33" fillId="2" borderId="0" xfId="0" quotePrefix="1" applyFont="1" applyFill="1" applyAlignment="1">
      <alignment vertical="center" wrapText="1"/>
    </xf>
    <xf numFmtId="0" fontId="33" fillId="10" borderId="13" xfId="0" quotePrefix="1" applyFont="1" applyFill="1" applyBorder="1" applyAlignment="1" applyProtection="1">
      <alignment horizontal="center" vertical="center"/>
      <protection hidden="1"/>
    </xf>
    <xf numFmtId="165" fontId="24" fillId="0" borderId="20" xfId="1" applyNumberFormat="1" applyFont="1" applyBorder="1" applyAlignment="1" applyProtection="1">
      <alignment horizontal="center" vertical="center"/>
      <protection hidden="1"/>
    </xf>
    <xf numFmtId="0" fontId="34" fillId="10" borderId="20" xfId="2" applyFont="1" applyFill="1" applyBorder="1" applyAlignment="1" applyProtection="1">
      <alignment horizontal="center" vertical="center"/>
      <protection hidden="1"/>
    </xf>
    <xf numFmtId="14" fontId="34" fillId="0" borderId="14" xfId="2" quotePrefix="1" applyNumberFormat="1" applyFont="1" applyBorder="1" applyAlignment="1" applyProtection="1">
      <alignment horizontal="center" vertical="center"/>
      <protection hidden="1"/>
    </xf>
    <xf numFmtId="0" fontId="33" fillId="2" borderId="0" xfId="2" applyFont="1" applyFill="1" applyAlignment="1" applyProtection="1">
      <alignment vertical="center"/>
      <protection hidden="1"/>
    </xf>
    <xf numFmtId="165" fontId="24" fillId="2" borderId="0" xfId="1" applyNumberFormat="1" applyFont="1" applyFill="1" applyBorder="1" applyAlignment="1" applyProtection="1">
      <alignment vertical="center"/>
      <protection hidden="1"/>
    </xf>
    <xf numFmtId="165" fontId="24" fillId="0" borderId="20" xfId="1" applyNumberFormat="1" applyFont="1" applyFill="1" applyBorder="1" applyAlignment="1" applyProtection="1">
      <alignment horizontal="center" vertical="center"/>
      <protection hidden="1"/>
    </xf>
    <xf numFmtId="0" fontId="9" fillId="2" borderId="0" xfId="2" applyFont="1" applyFill="1" applyAlignment="1" applyProtection="1">
      <alignment horizontal="center" vertical="center"/>
      <protection hidden="1"/>
    </xf>
    <xf numFmtId="0" fontId="34" fillId="0" borderId="14" xfId="2" applyFont="1" applyBorder="1" applyAlignment="1" applyProtection="1">
      <alignment horizontal="center" vertical="center"/>
      <protection hidden="1"/>
    </xf>
    <xf numFmtId="0" fontId="18" fillId="2" borderId="0" xfId="2" applyFont="1" applyFill="1" applyAlignment="1" applyProtection="1">
      <alignment vertical="top"/>
      <protection hidden="1"/>
    </xf>
    <xf numFmtId="169" fontId="34" fillId="0" borderId="14" xfId="2" applyNumberFormat="1" applyFont="1" applyBorder="1" applyAlignment="1" applyProtection="1">
      <alignment horizontal="center" vertical="center"/>
      <protection hidden="1"/>
    </xf>
    <xf numFmtId="165" fontId="24" fillId="0" borderId="27" xfId="1" applyNumberFormat="1" applyFont="1" applyBorder="1" applyAlignment="1" applyProtection="1">
      <alignment horizontal="center" vertical="center"/>
      <protection hidden="1"/>
    </xf>
    <xf numFmtId="165" fontId="11" fillId="4" borderId="20" xfId="1" applyNumberFormat="1" applyFont="1" applyFill="1" applyBorder="1" applyAlignment="1" applyProtection="1">
      <alignment horizontal="center" vertical="center"/>
      <protection hidden="1"/>
    </xf>
    <xf numFmtId="165" fontId="11" fillId="4" borderId="14" xfId="1" applyNumberFormat="1" applyFont="1" applyFill="1" applyBorder="1" applyAlignment="1" applyProtection="1">
      <alignment horizontal="center" vertical="center"/>
      <protection hidden="1"/>
    </xf>
    <xf numFmtId="0" fontId="35" fillId="2" borderId="0" xfId="2" applyFont="1" applyFill="1" applyAlignment="1" applyProtection="1">
      <alignment vertical="center"/>
      <protection hidden="1"/>
    </xf>
    <xf numFmtId="0" fontId="20" fillId="10" borderId="20" xfId="0" applyFont="1" applyFill="1" applyBorder="1" applyAlignment="1" applyProtection="1">
      <alignment horizontal="center" vertical="center"/>
      <protection hidden="1"/>
    </xf>
    <xf numFmtId="166" fontId="34" fillId="0" borderId="14" xfId="0" quotePrefix="1" applyNumberFormat="1" applyFont="1" applyBorder="1" applyAlignment="1" applyProtection="1">
      <alignment horizontal="center" vertical="center"/>
      <protection hidden="1"/>
    </xf>
    <xf numFmtId="169" fontId="11" fillId="2" borderId="0" xfId="0" quotePrefix="1" applyNumberFormat="1" applyFont="1" applyFill="1" applyAlignment="1" applyProtection="1">
      <alignment horizontal="center"/>
      <protection hidden="1"/>
    </xf>
    <xf numFmtId="0" fontId="20" fillId="10" borderId="13" xfId="0" quotePrefix="1" applyFont="1" applyFill="1" applyBorder="1" applyAlignment="1" applyProtection="1">
      <alignment horizontal="center" vertical="center"/>
      <protection hidden="1"/>
    </xf>
    <xf numFmtId="165" fontId="20" fillId="0" borderId="27" xfId="1" applyNumberFormat="1" applyFont="1" applyBorder="1" applyAlignment="1" applyProtection="1">
      <alignment horizontal="center" vertical="center"/>
      <protection hidden="1"/>
    </xf>
    <xf numFmtId="0" fontId="35" fillId="2" borderId="0" xfId="2" applyFont="1" applyFill="1" applyProtection="1">
      <protection hidden="1"/>
    </xf>
    <xf numFmtId="0" fontId="20" fillId="10" borderId="20" xfId="0" quotePrefix="1" applyFont="1" applyFill="1" applyBorder="1" applyAlignment="1">
      <alignment horizontal="center" vertical="center" wrapText="1"/>
    </xf>
    <xf numFmtId="0" fontId="37" fillId="2" borderId="0" xfId="3" applyFont="1" applyFill="1" applyBorder="1" applyAlignment="1">
      <alignment vertical="center"/>
    </xf>
    <xf numFmtId="170" fontId="38" fillId="2" borderId="0" xfId="0" quotePrefix="1" applyNumberFormat="1" applyFont="1" applyFill="1" applyAlignment="1" applyProtection="1">
      <alignment vertical="top" wrapText="1"/>
      <protection hidden="1"/>
    </xf>
    <xf numFmtId="0" fontId="3" fillId="13" borderId="0" xfId="0" applyFont="1" applyFill="1" applyProtection="1">
      <protection hidden="1"/>
    </xf>
    <xf numFmtId="170" fontId="38" fillId="2" borderId="0" xfId="0" quotePrefix="1" applyNumberFormat="1" applyFont="1" applyFill="1" applyAlignment="1" applyProtection="1">
      <alignment vertical="center" wrapText="1"/>
      <protection hidden="1"/>
    </xf>
    <xf numFmtId="166" fontId="25" fillId="0" borderId="29" xfId="0" applyNumberFormat="1" applyFont="1" applyBorder="1" applyAlignment="1" applyProtection="1">
      <alignment horizontal="center" vertical="top"/>
      <protection hidden="1"/>
    </xf>
    <xf numFmtId="166" fontId="25" fillId="0" borderId="30" xfId="0" applyNumberFormat="1" applyFont="1" applyBorder="1" applyAlignment="1" applyProtection="1">
      <alignment horizontal="center" vertical="top"/>
      <protection hidden="1"/>
    </xf>
    <xf numFmtId="166" fontId="30" fillId="13" borderId="0" xfId="0" applyNumberFormat="1" applyFont="1" applyFill="1" applyAlignment="1" applyProtection="1">
      <alignment vertical="top"/>
      <protection hidden="1"/>
    </xf>
    <xf numFmtId="166" fontId="30" fillId="13" borderId="10" xfId="0" applyNumberFormat="1" applyFont="1" applyFill="1" applyBorder="1" applyAlignment="1" applyProtection="1">
      <alignment vertical="top"/>
      <protection hidden="1"/>
    </xf>
    <xf numFmtId="166" fontId="30" fillId="13" borderId="9" xfId="0" applyNumberFormat="1" applyFont="1" applyFill="1" applyBorder="1" applyAlignment="1" applyProtection="1">
      <alignment vertical="top"/>
      <protection hidden="1"/>
    </xf>
    <xf numFmtId="166" fontId="30" fillId="13" borderId="32" xfId="0" applyNumberFormat="1" applyFont="1" applyFill="1" applyBorder="1" applyAlignment="1" applyProtection="1">
      <alignment vertical="top"/>
      <protection hidden="1"/>
    </xf>
    <xf numFmtId="166" fontId="30" fillId="13" borderId="5" xfId="0" applyNumberFormat="1" applyFont="1" applyFill="1" applyBorder="1" applyAlignment="1" applyProtection="1">
      <alignment vertical="top"/>
      <protection hidden="1"/>
    </xf>
    <xf numFmtId="170" fontId="38" fillId="0" borderId="0" xfId="0" quotePrefix="1" applyNumberFormat="1" applyFont="1" applyAlignment="1" applyProtection="1">
      <alignment vertical="center" wrapText="1"/>
      <protection hidden="1"/>
    </xf>
    <xf numFmtId="166" fontId="2" fillId="0" borderId="0" xfId="0" applyNumberFormat="1" applyFont="1" applyAlignment="1" applyProtection="1">
      <alignment vertical="top"/>
      <protection hidden="1"/>
    </xf>
    <xf numFmtId="166" fontId="39" fillId="0" borderId="0" xfId="0" applyNumberFormat="1" applyFont="1"/>
    <xf numFmtId="166" fontId="39" fillId="0" borderId="0" xfId="0" applyNumberFormat="1" applyFont="1" applyProtection="1">
      <protection hidden="1"/>
    </xf>
    <xf numFmtId="0" fontId="40" fillId="0" borderId="0" xfId="0" quotePrefix="1" applyFont="1" applyAlignment="1" applyProtection="1">
      <alignment vertical="center" wrapText="1"/>
      <protection hidden="1"/>
    </xf>
    <xf numFmtId="166" fontId="3" fillId="0" borderId="0" xfId="0" applyNumberFormat="1" applyFont="1"/>
    <xf numFmtId="166" fontId="3" fillId="0" borderId="0" xfId="0" applyNumberFormat="1" applyFont="1" applyProtection="1">
      <protection hidden="1"/>
    </xf>
    <xf numFmtId="0" fontId="33" fillId="0" borderId="0" xfId="0" quotePrefix="1" applyFont="1" applyAlignment="1" applyProtection="1">
      <alignment vertical="center"/>
      <protection hidden="1"/>
    </xf>
    <xf numFmtId="165" fontId="24" fillId="0" borderId="0" xfId="1" applyNumberFormat="1" applyFont="1" applyFill="1" applyBorder="1" applyAlignment="1" applyProtection="1">
      <alignment vertical="center"/>
      <protection hidden="1"/>
    </xf>
    <xf numFmtId="0" fontId="24" fillId="0" borderId="0" xfId="0" quotePrefix="1" applyFont="1" applyAlignment="1" applyProtection="1">
      <alignment vertical="center"/>
      <protection hidden="1"/>
    </xf>
    <xf numFmtId="169" fontId="24" fillId="0" borderId="0" xfId="0" quotePrefix="1" applyNumberFormat="1" applyFont="1" applyAlignment="1" applyProtection="1">
      <alignment horizontal="right" vertical="center"/>
      <protection hidden="1"/>
    </xf>
    <xf numFmtId="0" fontId="41" fillId="0" borderId="0" xfId="0" applyFont="1" applyProtection="1">
      <protection hidden="1"/>
    </xf>
    <xf numFmtId="0" fontId="40" fillId="0" borderId="0" xfId="0" applyFont="1" applyAlignment="1" applyProtection="1">
      <alignment vertical="center" wrapText="1"/>
      <protection hidden="1"/>
    </xf>
    <xf numFmtId="0" fontId="18" fillId="0" borderId="0" xfId="2" applyFont="1" applyAlignment="1" applyProtection="1">
      <alignment vertical="top"/>
      <protection hidden="1"/>
    </xf>
    <xf numFmtId="169" fontId="24" fillId="0" borderId="0" xfId="0" quotePrefix="1" applyNumberFormat="1" applyFont="1" applyAlignment="1" applyProtection="1">
      <alignment vertical="top"/>
      <protection hidden="1"/>
    </xf>
    <xf numFmtId="0" fontId="5" fillId="14" borderId="0" xfId="2" applyFont="1" applyFill="1" applyAlignment="1" applyProtection="1">
      <alignment vertical="center"/>
      <protection hidden="1"/>
    </xf>
    <xf numFmtId="0" fontId="6" fillId="14" borderId="0" xfId="2" applyFont="1" applyFill="1" applyAlignment="1" applyProtection="1">
      <alignment vertical="center"/>
      <protection hidden="1"/>
    </xf>
    <xf numFmtId="0" fontId="35" fillId="0" borderId="0" xfId="2" applyFont="1" applyAlignment="1" applyProtection="1">
      <alignment horizontal="center"/>
      <protection hidden="1"/>
    </xf>
    <xf numFmtId="0" fontId="37" fillId="0" borderId="0" xfId="3" applyFont="1" applyFill="1" applyBorder="1" applyAlignment="1">
      <alignment horizontal="center" vertical="center"/>
    </xf>
    <xf numFmtId="164" fontId="10" fillId="0" borderId="0" xfId="0" applyNumberFormat="1" applyFont="1" applyAlignment="1" applyProtection="1">
      <alignment vertical="center"/>
      <protection hidden="1"/>
    </xf>
    <xf numFmtId="164" fontId="10" fillId="0" borderId="0" xfId="0" applyNumberFormat="1" applyFont="1" applyAlignment="1" applyProtection="1">
      <alignment horizontal="left" vertical="center"/>
      <protection hidden="1"/>
    </xf>
    <xf numFmtId="0" fontId="13" fillId="2" borderId="23" xfId="2" applyFont="1" applyFill="1" applyBorder="1" applyAlignment="1" applyProtection="1">
      <alignment vertical="center"/>
      <protection hidden="1"/>
    </xf>
    <xf numFmtId="0" fontId="13" fillId="2" borderId="7" xfId="2" applyFont="1" applyFill="1" applyBorder="1" applyAlignment="1" applyProtection="1">
      <alignment vertical="center"/>
      <protection hidden="1"/>
    </xf>
    <xf numFmtId="165" fontId="11" fillId="4" borderId="1" xfId="1" applyNumberFormat="1" applyFont="1" applyFill="1" applyBorder="1" applyAlignment="1" applyProtection="1">
      <alignment horizontal="center" vertical="center"/>
      <protection hidden="1"/>
    </xf>
    <xf numFmtId="165" fontId="11" fillId="4" borderId="3" xfId="1" applyNumberFormat="1" applyFont="1" applyFill="1" applyBorder="1" applyAlignment="1" applyProtection="1">
      <alignment horizontal="center" vertical="center"/>
      <protection hidden="1"/>
    </xf>
    <xf numFmtId="165" fontId="11" fillId="4" borderId="2" xfId="1" applyNumberFormat="1" applyFont="1" applyFill="1" applyBorder="1" applyAlignment="1" applyProtection="1">
      <alignment horizontal="center" vertical="center"/>
      <protection hidden="1"/>
    </xf>
    <xf numFmtId="167" fontId="20" fillId="8" borderId="35" xfId="0" applyNumberFormat="1" applyFont="1" applyFill="1" applyBorder="1" applyAlignment="1" applyProtection="1">
      <alignment horizontal="center" vertical="center"/>
      <protection locked="0" hidden="1"/>
    </xf>
    <xf numFmtId="166" fontId="21" fillId="7" borderId="36" xfId="0" applyNumberFormat="1" applyFont="1" applyFill="1" applyBorder="1" applyAlignment="1" applyProtection="1">
      <alignment horizontal="center" vertical="center"/>
      <protection hidden="1"/>
    </xf>
    <xf numFmtId="166" fontId="21" fillId="7" borderId="14" xfId="0" applyNumberFormat="1" applyFont="1" applyFill="1" applyBorder="1" applyAlignment="1" applyProtection="1">
      <alignment horizontal="center" vertical="center"/>
      <protection hidden="1"/>
    </xf>
    <xf numFmtId="165" fontId="3" fillId="0" borderId="0" xfId="0" applyNumberFormat="1" applyFont="1" applyProtection="1">
      <protection hidden="1"/>
    </xf>
    <xf numFmtId="0" fontId="14" fillId="2" borderId="0" xfId="0" quotePrefix="1" applyFont="1" applyFill="1" applyAlignment="1" applyProtection="1">
      <alignment horizontal="center" vertical="center" wrapText="1"/>
      <protection hidden="1"/>
    </xf>
    <xf numFmtId="168" fontId="22" fillId="0" borderId="20" xfId="1" applyNumberFormat="1" applyFont="1" applyBorder="1" applyAlignment="1" applyProtection="1">
      <alignment horizontal="center" vertical="center"/>
      <protection hidden="1"/>
    </xf>
    <xf numFmtId="168" fontId="22" fillId="0" borderId="14" xfId="1" applyNumberFormat="1" applyFont="1" applyBorder="1" applyAlignment="1" applyProtection="1">
      <alignment horizontal="center" vertical="center"/>
      <protection hidden="1"/>
    </xf>
    <xf numFmtId="165" fontId="11" fillId="13" borderId="0" xfId="1" applyNumberFormat="1" applyFont="1" applyFill="1" applyBorder="1" applyAlignment="1" applyProtection="1">
      <alignment horizontal="center" vertical="center"/>
      <protection hidden="1"/>
    </xf>
    <xf numFmtId="165" fontId="11" fillId="16" borderId="0" xfId="1" applyNumberFormat="1" applyFont="1" applyFill="1" applyBorder="1" applyAlignment="1" applyProtection="1">
      <alignment horizontal="center" vertical="center"/>
      <protection hidden="1"/>
    </xf>
    <xf numFmtId="0" fontId="37" fillId="13" borderId="0" xfId="3" applyFont="1" applyFill="1" applyBorder="1" applyAlignment="1">
      <alignment vertical="center"/>
    </xf>
    <xf numFmtId="166" fontId="25" fillId="0" borderId="20" xfId="0" quotePrefix="1" applyNumberFormat="1" applyFont="1" applyBorder="1" applyAlignment="1" applyProtection="1">
      <alignment horizontal="center" vertical="center"/>
      <protection hidden="1"/>
    </xf>
    <xf numFmtId="0" fontId="33" fillId="10" borderId="20" xfId="0" quotePrefix="1" applyFont="1" applyFill="1" applyBorder="1" applyAlignment="1" applyProtection="1">
      <alignment horizontal="center" vertical="center"/>
      <protection hidden="1"/>
    </xf>
    <xf numFmtId="0" fontId="20" fillId="10" borderId="20" xfId="0" quotePrefix="1" applyFont="1" applyFill="1" applyBorder="1" applyAlignment="1" applyProtection="1">
      <alignment horizontal="center" vertical="center"/>
      <protection hidden="1"/>
    </xf>
    <xf numFmtId="168" fontId="20" fillId="0" borderId="14" xfId="1" applyNumberFormat="1" applyFont="1" applyBorder="1" applyAlignment="1" applyProtection="1">
      <alignment horizontal="center" vertical="center"/>
      <protection hidden="1"/>
    </xf>
    <xf numFmtId="165" fontId="20" fillId="0" borderId="20" xfId="1" applyNumberFormat="1" applyFont="1" applyFill="1" applyBorder="1" applyAlignment="1" applyProtection="1">
      <alignment horizontal="center" vertical="center"/>
      <protection hidden="1"/>
    </xf>
    <xf numFmtId="168" fontId="20" fillId="0" borderId="20" xfId="1" applyNumberFormat="1" applyFont="1" applyBorder="1" applyAlignment="1" applyProtection="1">
      <alignment horizontal="center" vertical="center"/>
      <protection hidden="1"/>
    </xf>
    <xf numFmtId="166" fontId="34" fillId="0" borderId="20" xfId="0" quotePrefix="1" applyNumberFormat="1" applyFont="1" applyBorder="1" applyAlignment="1" applyProtection="1">
      <alignment horizontal="center" vertical="center"/>
      <protection hidden="1"/>
    </xf>
    <xf numFmtId="165" fontId="20" fillId="0" borderId="20" xfId="1" applyNumberFormat="1" applyFont="1" applyBorder="1" applyAlignment="1" applyProtection="1">
      <alignment horizontal="center" vertical="center"/>
      <protection hidden="1"/>
    </xf>
    <xf numFmtId="0" fontId="20" fillId="10" borderId="29" xfId="0" quotePrefix="1" applyFont="1" applyFill="1" applyBorder="1" applyAlignment="1" applyProtection="1">
      <alignment horizontal="center" vertical="center"/>
      <protection hidden="1"/>
    </xf>
    <xf numFmtId="165" fontId="20" fillId="0" borderId="29" xfId="1" applyNumberFormat="1" applyFont="1" applyBorder="1" applyAlignment="1" applyProtection="1">
      <alignment horizontal="center" vertical="center"/>
      <protection hidden="1"/>
    </xf>
    <xf numFmtId="0" fontId="34" fillId="10" borderId="18" xfId="2" applyFont="1" applyFill="1" applyBorder="1" applyAlignment="1" applyProtection="1">
      <alignment horizontal="center" vertical="center"/>
      <protection hidden="1"/>
    </xf>
    <xf numFmtId="14" fontId="34" fillId="0" borderId="20" xfId="2" quotePrefix="1" applyNumberFormat="1" applyFont="1" applyBorder="1" applyAlignment="1" applyProtection="1">
      <alignment horizontal="center" vertical="center"/>
      <protection hidden="1"/>
    </xf>
    <xf numFmtId="0" fontId="34" fillId="0" borderId="20" xfId="2" applyFont="1" applyBorder="1" applyAlignment="1" applyProtection="1">
      <alignment horizontal="center" vertical="center"/>
      <protection hidden="1"/>
    </xf>
    <xf numFmtId="169" fontId="34" fillId="0" borderId="20" xfId="2" applyNumberFormat="1" applyFont="1" applyBorder="1" applyAlignment="1" applyProtection="1">
      <alignment horizontal="center" vertical="center"/>
      <protection hidden="1"/>
    </xf>
    <xf numFmtId="0" fontId="20" fillId="13" borderId="0" xfId="0" quotePrefix="1" applyFont="1" applyFill="1" applyAlignment="1" applyProtection="1">
      <alignment horizontal="center" vertical="center"/>
      <protection hidden="1"/>
    </xf>
    <xf numFmtId="168" fontId="20" fillId="13" borderId="0" xfId="1" applyNumberFormat="1" applyFont="1" applyFill="1" applyBorder="1" applyAlignment="1" applyProtection="1">
      <alignment horizontal="center" vertical="center"/>
      <protection hidden="1"/>
    </xf>
    <xf numFmtId="168" fontId="22" fillId="0" borderId="38" xfId="1" applyNumberFormat="1" applyFont="1" applyBorder="1" applyAlignment="1" applyProtection="1">
      <alignment horizontal="center" vertical="center"/>
      <protection hidden="1"/>
    </xf>
    <xf numFmtId="168" fontId="22" fillId="0" borderId="39" xfId="1" applyNumberFormat="1" applyFont="1" applyBorder="1" applyAlignment="1" applyProtection="1">
      <alignment horizontal="center" vertical="center"/>
      <protection hidden="1"/>
    </xf>
    <xf numFmtId="170" fontId="42" fillId="13" borderId="4" xfId="0" quotePrefix="1" applyNumberFormat="1" applyFont="1" applyFill="1" applyBorder="1" applyAlignment="1" applyProtection="1">
      <alignment vertical="center" wrapText="1"/>
      <protection hidden="1"/>
    </xf>
    <xf numFmtId="170" fontId="42" fillId="13" borderId="32" xfId="0" quotePrefix="1" applyNumberFormat="1" applyFont="1" applyFill="1" applyBorder="1" applyAlignment="1" applyProtection="1">
      <alignment vertical="center" wrapText="1"/>
      <protection hidden="1"/>
    </xf>
    <xf numFmtId="170" fontId="38" fillId="13" borderId="5" xfId="0" quotePrefix="1" applyNumberFormat="1" applyFont="1" applyFill="1" applyBorder="1" applyAlignment="1" applyProtection="1">
      <alignment vertical="center" wrapText="1"/>
      <protection hidden="1"/>
    </xf>
    <xf numFmtId="0" fontId="3" fillId="13" borderId="4" xfId="0" applyFont="1" applyFill="1" applyBorder="1"/>
    <xf numFmtId="0" fontId="3" fillId="13" borderId="32" xfId="0" applyFont="1" applyFill="1" applyBorder="1"/>
    <xf numFmtId="0" fontId="3" fillId="13" borderId="5" xfId="0" applyFont="1" applyFill="1" applyBorder="1"/>
    <xf numFmtId="170" fontId="42" fillId="0" borderId="0" xfId="0" quotePrefix="1" applyNumberFormat="1" applyFont="1" applyAlignment="1" applyProtection="1">
      <alignment vertical="center" wrapText="1"/>
      <protection hidden="1"/>
    </xf>
    <xf numFmtId="0" fontId="22" fillId="0" borderId="0" xfId="0" applyFont="1" applyAlignment="1" applyProtection="1">
      <alignment vertical="center"/>
      <protection hidden="1"/>
    </xf>
    <xf numFmtId="166" fontId="25" fillId="0" borderId="0" xfId="1" applyNumberFormat="1" applyFont="1" applyFill="1" applyBorder="1" applyAlignment="1" applyProtection="1">
      <alignment horizontal="center" vertical="center"/>
      <protection hidden="1"/>
    </xf>
    <xf numFmtId="166" fontId="25" fillId="0" borderId="0" xfId="0" quotePrefix="1" applyNumberFormat="1" applyFont="1" applyAlignment="1" applyProtection="1">
      <alignment horizontal="center" vertical="center"/>
      <protection hidden="1"/>
    </xf>
    <xf numFmtId="0" fontId="0" fillId="0" borderId="0" xfId="0" applyProtection="1">
      <protection hidden="1"/>
    </xf>
    <xf numFmtId="166" fontId="43" fillId="0" borderId="0" xfId="0" applyNumberFormat="1" applyFont="1" applyAlignment="1">
      <alignment horizontal="center"/>
    </xf>
    <xf numFmtId="166" fontId="43" fillId="0" borderId="0" xfId="0" applyNumberFormat="1" applyFont="1" applyAlignment="1" applyProtection="1">
      <alignment horizontal="center"/>
      <protection hidden="1"/>
    </xf>
    <xf numFmtId="0" fontId="45" fillId="0" borderId="0" xfId="0" applyFont="1" applyProtection="1">
      <protection hidden="1"/>
    </xf>
    <xf numFmtId="0" fontId="45" fillId="0" borderId="0" xfId="0" quotePrefix="1" applyFont="1" applyProtection="1">
      <protection hidden="1"/>
    </xf>
    <xf numFmtId="0" fontId="46" fillId="17" borderId="1" xfId="0" applyFont="1" applyFill="1" applyBorder="1" applyProtection="1">
      <protection hidden="1"/>
    </xf>
    <xf numFmtId="0" fontId="44" fillId="0" borderId="20" xfId="0" applyFont="1" applyBorder="1" applyAlignment="1" applyProtection="1">
      <alignment horizontal="left"/>
      <protection hidden="1"/>
    </xf>
    <xf numFmtId="0" fontId="0" fillId="0" borderId="20" xfId="0" applyBorder="1"/>
    <xf numFmtId="0" fontId="0" fillId="18" borderId="20" xfId="0" applyFill="1" applyBorder="1"/>
    <xf numFmtId="0" fontId="0" fillId="0" borderId="20" xfId="0" applyBorder="1" applyProtection="1">
      <protection hidden="1"/>
    </xf>
    <xf numFmtId="0" fontId="47" fillId="0" borderId="0" xfId="0" applyFont="1" applyProtection="1">
      <protection hidden="1"/>
    </xf>
    <xf numFmtId="0" fontId="46" fillId="17" borderId="9" xfId="0" applyFont="1" applyFill="1" applyBorder="1" applyProtection="1">
      <protection hidden="1"/>
    </xf>
    <xf numFmtId="0" fontId="46" fillId="0" borderId="0" xfId="0" applyFont="1" applyProtection="1">
      <protection hidden="1"/>
    </xf>
    <xf numFmtId="0" fontId="47" fillId="0" borderId="0" xfId="0" applyFont="1" applyAlignment="1" applyProtection="1">
      <alignment horizontal="left"/>
      <protection hidden="1"/>
    </xf>
    <xf numFmtId="0" fontId="44" fillId="0" borderId="20" xfId="0" applyFont="1" applyBorder="1" applyProtection="1">
      <protection hidden="1"/>
    </xf>
    <xf numFmtId="0" fontId="48" fillId="0" borderId="0" xfId="0" applyFont="1" applyAlignment="1" applyProtection="1">
      <alignment vertical="center"/>
      <protection hidden="1"/>
    </xf>
    <xf numFmtId="16" fontId="47" fillId="0" borderId="0" xfId="0" quotePrefix="1" applyNumberFormat="1" applyFont="1" applyProtection="1">
      <protection hidden="1"/>
    </xf>
    <xf numFmtId="0" fontId="47" fillId="0" borderId="0" xfId="0" applyFont="1"/>
    <xf numFmtId="0" fontId="46" fillId="0" borderId="20" xfId="0" applyFont="1" applyBorder="1" applyProtection="1">
      <protection hidden="1"/>
    </xf>
    <xf numFmtId="0" fontId="47" fillId="0" borderId="0" xfId="0" quotePrefix="1" applyFont="1" applyProtection="1">
      <protection hidden="1"/>
    </xf>
    <xf numFmtId="0" fontId="0" fillId="17" borderId="4" xfId="0" applyFill="1" applyBorder="1"/>
    <xf numFmtId="0" fontId="47" fillId="0" borderId="20" xfId="0" applyFont="1" applyBorder="1" applyProtection="1">
      <protection hidden="1"/>
    </xf>
    <xf numFmtId="0" fontId="47" fillId="0" borderId="0" xfId="4" applyNumberFormat="1" applyFont="1" applyProtection="1">
      <protection hidden="1"/>
    </xf>
    <xf numFmtId="0" fontId="44" fillId="0" borderId="0" xfId="0" applyFont="1" applyAlignment="1" applyProtection="1">
      <alignment horizontal="center" vertical="center"/>
      <protection hidden="1"/>
    </xf>
    <xf numFmtId="0" fontId="44" fillId="0" borderId="0" xfId="0" applyFont="1" applyAlignment="1" applyProtection="1">
      <alignment horizontal="center"/>
      <protection hidden="1"/>
    </xf>
    <xf numFmtId="0" fontId="51" fillId="0" borderId="0" xfId="5" applyFont="1" applyProtection="1">
      <protection hidden="1"/>
    </xf>
    <xf numFmtId="0" fontId="0" fillId="0" borderId="0" xfId="0" applyAlignment="1" applyProtection="1">
      <alignment horizontal="center" vertical="center"/>
      <protection hidden="1"/>
    </xf>
    <xf numFmtId="0" fontId="0" fillId="0" borderId="0" xfId="0" applyAlignment="1" applyProtection="1">
      <alignment horizontal="center"/>
      <protection hidden="1"/>
    </xf>
    <xf numFmtId="0" fontId="0" fillId="0" borderId="0" xfId="0" quotePrefix="1" applyProtection="1">
      <protection hidden="1"/>
    </xf>
    <xf numFmtId="0" fontId="52" fillId="0" borderId="0" xfId="0" applyFont="1" applyProtection="1">
      <protection hidden="1"/>
    </xf>
    <xf numFmtId="0" fontId="45" fillId="0" borderId="7" xfId="0" applyFont="1" applyBorder="1" applyAlignment="1" applyProtection="1">
      <alignment horizontal="left"/>
      <protection hidden="1"/>
    </xf>
    <xf numFmtId="0" fontId="45" fillId="0" borderId="0" xfId="0" applyFont="1" applyAlignment="1" applyProtection="1">
      <alignment horizontal="left"/>
      <protection hidden="1"/>
    </xf>
    <xf numFmtId="0" fontId="0" fillId="0" borderId="20" xfId="0" applyBorder="1" applyAlignment="1" applyProtection="1">
      <alignment horizontal="left"/>
      <protection hidden="1"/>
    </xf>
    <xf numFmtId="0" fontId="0" fillId="0" borderId="0" xfId="0" applyAlignment="1">
      <alignment vertical="center"/>
    </xf>
    <xf numFmtId="0" fontId="47" fillId="0" borderId="20" xfId="0" applyFont="1" applyBorder="1" applyAlignment="1" applyProtection="1">
      <alignment horizontal="left"/>
      <protection hidden="1"/>
    </xf>
    <xf numFmtId="0" fontId="44" fillId="0" borderId="32" xfId="0" applyFont="1" applyBorder="1"/>
    <xf numFmtId="0" fontId="53" fillId="19" borderId="15" xfId="0" applyFont="1" applyFill="1" applyBorder="1" applyProtection="1">
      <protection hidden="1"/>
    </xf>
    <xf numFmtId="0" fontId="0" fillId="0" borderId="0" xfId="0" applyAlignment="1" applyProtection="1">
      <alignment horizontal="left" vertical="center" wrapText="1"/>
      <protection hidden="1"/>
    </xf>
    <xf numFmtId="0" fontId="0" fillId="17" borderId="0" xfId="0" applyFill="1" applyProtection="1">
      <protection hidden="1"/>
    </xf>
    <xf numFmtId="0" fontId="47" fillId="17" borderId="0" xfId="0" applyFont="1" applyFill="1" applyProtection="1">
      <protection hidden="1"/>
    </xf>
    <xf numFmtId="0" fontId="55" fillId="13" borderId="1" xfId="0" applyFont="1" applyFill="1" applyBorder="1" applyAlignment="1" applyProtection="1">
      <alignment horizontal="center" vertical="center"/>
      <protection hidden="1"/>
    </xf>
    <xf numFmtId="0" fontId="55" fillId="13" borderId="41" xfId="0" applyFont="1" applyFill="1" applyBorder="1" applyAlignment="1" applyProtection="1">
      <alignment horizontal="center" vertical="center"/>
      <protection hidden="1"/>
    </xf>
    <xf numFmtId="0" fontId="55" fillId="13" borderId="42" xfId="0" applyFont="1" applyFill="1" applyBorder="1" applyAlignment="1" applyProtection="1">
      <alignment horizontal="center" vertical="center"/>
      <protection hidden="1"/>
    </xf>
    <xf numFmtId="0" fontId="55" fillId="13" borderId="0" xfId="0" applyFont="1" applyFill="1" applyAlignment="1" applyProtection="1">
      <alignment horizontal="center" vertical="center"/>
      <protection hidden="1"/>
    </xf>
    <xf numFmtId="0" fontId="55" fillId="13" borderId="29" xfId="0" applyFont="1" applyFill="1" applyBorder="1" applyAlignment="1" applyProtection="1">
      <alignment horizontal="center" vertical="center"/>
      <protection hidden="1"/>
    </xf>
    <xf numFmtId="0" fontId="55" fillId="13" borderId="43" xfId="0" applyFont="1" applyFill="1" applyBorder="1" applyAlignment="1" applyProtection="1">
      <alignment horizontal="center" vertical="center"/>
      <protection hidden="1"/>
    </xf>
    <xf numFmtId="171" fontId="0" fillId="0" borderId="0" xfId="0" applyNumberFormat="1" applyProtection="1">
      <protection hidden="1"/>
    </xf>
    <xf numFmtId="165" fontId="56" fillId="0" borderId="44" xfId="1" applyNumberFormat="1" applyFont="1" applyBorder="1" applyAlignment="1" applyProtection="1">
      <alignment horizontal="center" vertical="top"/>
      <protection hidden="1"/>
    </xf>
    <xf numFmtId="165" fontId="57" fillId="0" borderId="45" xfId="1" applyNumberFormat="1" applyFont="1" applyBorder="1" applyAlignment="1" applyProtection="1">
      <alignment horizontal="center" vertical="top"/>
      <protection hidden="1"/>
    </xf>
    <xf numFmtId="165" fontId="57" fillId="0" borderId="46" xfId="1" applyNumberFormat="1" applyFont="1" applyBorder="1" applyAlignment="1" applyProtection="1">
      <alignment horizontal="center" vertical="top"/>
      <protection hidden="1"/>
    </xf>
    <xf numFmtId="169" fontId="0" fillId="0" borderId="0" xfId="0" applyNumberFormat="1" applyProtection="1">
      <protection hidden="1"/>
    </xf>
    <xf numFmtId="1" fontId="0" fillId="0" borderId="0" xfId="0" applyNumberFormat="1" applyProtection="1">
      <protection hidden="1"/>
    </xf>
    <xf numFmtId="165" fontId="56" fillId="0" borderId="47" xfId="1" applyNumberFormat="1" applyFont="1" applyBorder="1" applyAlignment="1" applyProtection="1">
      <alignment horizontal="center" vertical="top"/>
      <protection hidden="1"/>
    </xf>
    <xf numFmtId="169" fontId="57" fillId="0" borderId="48" xfId="1" applyNumberFormat="1" applyFont="1" applyBorder="1" applyAlignment="1" applyProtection="1">
      <alignment horizontal="center" vertical="top"/>
      <protection hidden="1"/>
    </xf>
    <xf numFmtId="169" fontId="57" fillId="0" borderId="36" xfId="1" applyNumberFormat="1" applyFont="1" applyBorder="1" applyAlignment="1" applyProtection="1">
      <alignment horizontal="center" vertical="top"/>
      <protection hidden="1"/>
    </xf>
    <xf numFmtId="165" fontId="56" fillId="0" borderId="49" xfId="1" applyNumberFormat="1" applyFont="1" applyBorder="1" applyAlignment="1" applyProtection="1">
      <alignment horizontal="center" vertical="top"/>
      <protection hidden="1"/>
    </xf>
    <xf numFmtId="165" fontId="57" fillId="0" borderId="50" xfId="1" applyNumberFormat="1" applyFont="1" applyBorder="1" applyAlignment="1" applyProtection="1">
      <alignment horizontal="center" vertical="top"/>
      <protection hidden="1"/>
    </xf>
    <xf numFmtId="165" fontId="57" fillId="0" borderId="51" xfId="1" applyNumberFormat="1" applyFont="1" applyBorder="1" applyAlignment="1" applyProtection="1">
      <alignment horizontal="center" vertical="top"/>
      <protection hidden="1"/>
    </xf>
    <xf numFmtId="165" fontId="56" fillId="0" borderId="13" xfId="1" applyNumberFormat="1" applyFont="1" applyBorder="1" applyAlignment="1" applyProtection="1">
      <alignment horizontal="center" vertical="top"/>
      <protection hidden="1"/>
    </xf>
    <xf numFmtId="169" fontId="57" fillId="0" borderId="20" xfId="1" applyNumberFormat="1" applyFont="1" applyBorder="1" applyAlignment="1" applyProtection="1">
      <alignment horizontal="center" vertical="top"/>
      <protection hidden="1"/>
    </xf>
    <xf numFmtId="169" fontId="57" fillId="0" borderId="14" xfId="1" applyNumberFormat="1" applyFont="1" applyBorder="1" applyAlignment="1" applyProtection="1">
      <alignment horizontal="center" vertical="top"/>
      <protection hidden="1"/>
    </xf>
    <xf numFmtId="0" fontId="0" fillId="18" borderId="0" xfId="0" applyFill="1" applyProtection="1">
      <protection hidden="1"/>
    </xf>
    <xf numFmtId="0" fontId="46" fillId="18" borderId="0" xfId="0" applyFont="1" applyFill="1" applyProtection="1">
      <protection hidden="1"/>
    </xf>
    <xf numFmtId="165" fontId="56" fillId="0" borderId="13" xfId="1" applyNumberFormat="1" applyFont="1" applyFill="1" applyBorder="1" applyAlignment="1" applyProtection="1">
      <alignment horizontal="center" vertical="top"/>
      <protection hidden="1"/>
    </xf>
    <xf numFmtId="169" fontId="57" fillId="0" borderId="20" xfId="1" applyNumberFormat="1" applyFont="1" applyFill="1" applyBorder="1" applyAlignment="1" applyProtection="1">
      <alignment horizontal="center" vertical="top"/>
      <protection hidden="1"/>
    </xf>
    <xf numFmtId="169" fontId="57" fillId="0" borderId="14" xfId="1" applyNumberFormat="1" applyFont="1" applyFill="1" applyBorder="1" applyAlignment="1" applyProtection="1">
      <alignment horizontal="center" vertical="top"/>
      <protection hidden="1"/>
    </xf>
    <xf numFmtId="172" fontId="0" fillId="0" borderId="0" xfId="0" applyNumberFormat="1" applyProtection="1">
      <protection hidden="1"/>
    </xf>
    <xf numFmtId="0" fontId="57" fillId="0" borderId="1" xfId="1" applyNumberFormat="1" applyFont="1" applyBorder="1" applyAlignment="1" applyProtection="1">
      <alignment horizontal="center" vertical="center"/>
      <protection hidden="1"/>
    </xf>
    <xf numFmtId="0" fontId="57" fillId="0" borderId="3" xfId="1" applyNumberFormat="1" applyFont="1" applyBorder="1" applyAlignment="1" applyProtection="1">
      <alignment horizontal="center" vertical="center"/>
      <protection hidden="1"/>
    </xf>
    <xf numFmtId="0" fontId="57" fillId="0" borderId="2" xfId="1" applyNumberFormat="1" applyFont="1" applyBorder="1" applyAlignment="1" applyProtection="1">
      <alignment horizontal="center" vertical="center"/>
      <protection hidden="1"/>
    </xf>
    <xf numFmtId="169" fontId="57" fillId="0" borderId="9" xfId="1" applyNumberFormat="1" applyFont="1" applyBorder="1" applyAlignment="1" applyProtection="1">
      <alignment horizontal="center" vertical="center"/>
      <protection hidden="1"/>
    </xf>
    <xf numFmtId="169" fontId="57" fillId="0" borderId="0" xfId="1" applyNumberFormat="1" applyFont="1" applyBorder="1" applyAlignment="1" applyProtection="1">
      <alignment horizontal="center" vertical="center"/>
      <protection hidden="1"/>
    </xf>
    <xf numFmtId="0" fontId="57" fillId="0" borderId="10" xfId="1" applyNumberFormat="1" applyFont="1" applyBorder="1" applyAlignment="1" applyProtection="1">
      <alignment horizontal="center" vertical="center"/>
      <protection hidden="1"/>
    </xf>
    <xf numFmtId="0" fontId="0" fillId="0" borderId="9" xfId="0" applyBorder="1" applyAlignment="1" applyProtection="1">
      <alignment horizontal="center" vertical="center"/>
      <protection hidden="1"/>
    </xf>
    <xf numFmtId="169" fontId="0" fillId="0" borderId="0" xfId="0" applyNumberFormat="1" applyAlignment="1" applyProtection="1">
      <alignment horizontal="center" vertical="center"/>
      <protection hidden="1"/>
    </xf>
    <xf numFmtId="0" fontId="0" fillId="0" borderId="10" xfId="0" applyBorder="1" applyAlignment="1" applyProtection="1">
      <alignment horizontal="center" vertical="center"/>
      <protection hidden="1"/>
    </xf>
    <xf numFmtId="0" fontId="0" fillId="0" borderId="54" xfId="0" applyBorder="1" applyAlignment="1">
      <alignment horizontal="center"/>
    </xf>
    <xf numFmtId="169" fontId="57" fillId="0" borderId="10" xfId="1" applyNumberFormat="1" applyFont="1" applyBorder="1" applyAlignment="1" applyProtection="1">
      <alignment horizontal="center" vertical="center"/>
      <protection hidden="1"/>
    </xf>
    <xf numFmtId="0" fontId="47" fillId="0" borderId="17" xfId="0" quotePrefix="1" applyFont="1" applyBorder="1" applyAlignment="1" applyProtection="1">
      <alignment vertical="center"/>
      <protection hidden="1"/>
    </xf>
    <xf numFmtId="0" fontId="47" fillId="0" borderId="18" xfId="0" quotePrefix="1" applyFont="1" applyBorder="1" applyAlignment="1" applyProtection="1">
      <alignment vertical="center"/>
      <protection hidden="1"/>
    </xf>
    <xf numFmtId="169" fontId="47" fillId="0" borderId="55" xfId="0" applyNumberFormat="1" applyFont="1" applyBorder="1"/>
    <xf numFmtId="0" fontId="0" fillId="0" borderId="4" xfId="0" applyBorder="1" applyAlignment="1" applyProtection="1">
      <alignment horizontal="center" vertical="center"/>
      <protection hidden="1"/>
    </xf>
    <xf numFmtId="169" fontId="0" fillId="0" borderId="32" xfId="0" applyNumberFormat="1" applyBorder="1" applyAlignment="1" applyProtection="1">
      <alignment horizontal="center" vertical="center"/>
      <protection hidden="1"/>
    </xf>
    <xf numFmtId="169" fontId="0" fillId="0" borderId="5" xfId="0" applyNumberFormat="1" applyBorder="1" applyAlignment="1" applyProtection="1">
      <alignment horizontal="center" vertical="center"/>
      <protection hidden="1"/>
    </xf>
    <xf numFmtId="0" fontId="0" fillId="0" borderId="5" xfId="0" applyBorder="1" applyAlignment="1" applyProtection="1">
      <alignment horizontal="center" vertical="center"/>
      <protection hidden="1"/>
    </xf>
    <xf numFmtId="169" fontId="48" fillId="0" borderId="3" xfId="0" applyNumberFormat="1" applyFont="1" applyBorder="1" applyAlignment="1" applyProtection="1">
      <alignment horizontal="center" vertical="top"/>
      <protection hidden="1"/>
    </xf>
    <xf numFmtId="169" fontId="25" fillId="0" borderId="2" xfId="0" applyNumberFormat="1" applyFont="1" applyBorder="1" applyAlignment="1" applyProtection="1">
      <alignment horizontal="center"/>
      <protection hidden="1"/>
    </xf>
    <xf numFmtId="0" fontId="48" fillId="0" borderId="32" xfId="0" applyFont="1" applyBorder="1" applyAlignment="1" applyProtection="1">
      <alignment horizontal="center" vertical="top"/>
      <protection hidden="1"/>
    </xf>
    <xf numFmtId="169" fontId="25" fillId="0" borderId="5" xfId="0" applyNumberFormat="1" applyFont="1" applyBorder="1" applyAlignment="1" applyProtection="1">
      <alignment horizontal="center"/>
      <protection hidden="1"/>
    </xf>
    <xf numFmtId="0" fontId="25" fillId="0" borderId="0" xfId="0" applyFont="1" applyProtection="1">
      <protection hidden="1"/>
    </xf>
    <xf numFmtId="0" fontId="25" fillId="0" borderId="0" xfId="0" applyFont="1" applyAlignment="1" applyProtection="1">
      <alignment horizontal="center"/>
      <protection hidden="1"/>
    </xf>
    <xf numFmtId="169" fontId="59" fillId="23" borderId="56" xfId="0" applyNumberFormat="1" applyFont="1" applyFill="1" applyBorder="1" applyAlignment="1" applyProtection="1">
      <alignment horizontal="center"/>
      <protection hidden="1"/>
    </xf>
    <xf numFmtId="0" fontId="58" fillId="21" borderId="47" xfId="2" applyFont="1" applyFill="1" applyBorder="1" applyAlignment="1" applyProtection="1">
      <alignment horizontal="center" vertical="top"/>
      <protection hidden="1"/>
    </xf>
    <xf numFmtId="0" fontId="58" fillId="21" borderId="48" xfId="2" applyFont="1" applyFill="1" applyBorder="1" applyAlignment="1" applyProtection="1">
      <alignment horizontal="center" vertical="top"/>
      <protection hidden="1"/>
    </xf>
    <xf numFmtId="0" fontId="58" fillId="21" borderId="36" xfId="2" applyFont="1" applyFill="1" applyBorder="1" applyAlignment="1" applyProtection="1">
      <alignment horizontal="center" vertical="top"/>
      <protection hidden="1"/>
    </xf>
    <xf numFmtId="0" fontId="60" fillId="0" borderId="37" xfId="0" quotePrefix="1" applyFont="1" applyBorder="1" applyAlignment="1" applyProtection="1">
      <alignment vertical="center"/>
      <protection hidden="1"/>
    </xf>
    <xf numFmtId="0" fontId="60" fillId="0" borderId="38" xfId="0" quotePrefix="1" applyFont="1" applyBorder="1" applyAlignment="1" applyProtection="1">
      <alignment vertical="center"/>
      <protection hidden="1"/>
    </xf>
    <xf numFmtId="168" fontId="22" fillId="0" borderId="48" xfId="1" applyNumberFormat="1" applyFont="1" applyBorder="1" applyAlignment="1" applyProtection="1">
      <alignment horizontal="center" vertical="center"/>
      <protection hidden="1"/>
    </xf>
    <xf numFmtId="166" fontId="25" fillId="0" borderId="36" xfId="0" applyNumberFormat="1" applyFont="1" applyBorder="1" applyAlignment="1" applyProtection="1">
      <alignment horizontal="center" vertical="top"/>
      <protection hidden="1"/>
    </xf>
    <xf numFmtId="166" fontId="25" fillId="0" borderId="39" xfId="0" applyNumberFormat="1" applyFont="1" applyBorder="1" applyAlignment="1" applyProtection="1">
      <alignment horizontal="center" vertical="top"/>
      <protection hidden="1"/>
    </xf>
    <xf numFmtId="166" fontId="25" fillId="0" borderId="48" xfId="0" applyNumberFormat="1" applyFont="1" applyBorder="1" applyAlignment="1" applyProtection="1">
      <alignment horizontal="center" vertical="top"/>
      <protection hidden="1"/>
    </xf>
    <xf numFmtId="166" fontId="30" fillId="13" borderId="4" xfId="0" applyNumberFormat="1" applyFont="1" applyFill="1" applyBorder="1" applyAlignment="1" applyProtection="1">
      <alignment vertical="top"/>
      <protection hidden="1"/>
    </xf>
    <xf numFmtId="0" fontId="47" fillId="18" borderId="20" xfId="0" applyFont="1" applyFill="1" applyBorder="1" applyProtection="1">
      <protection hidden="1"/>
    </xf>
    <xf numFmtId="0" fontId="0" fillId="18" borderId="20" xfId="0" applyFill="1" applyBorder="1" applyProtection="1">
      <protection hidden="1"/>
    </xf>
    <xf numFmtId="166" fontId="11" fillId="24" borderId="13" xfId="0" applyNumberFormat="1" applyFont="1" applyFill="1" applyBorder="1" applyAlignment="1" applyProtection="1">
      <alignment horizontal="center" vertical="top"/>
      <protection hidden="1"/>
    </xf>
    <xf numFmtId="166" fontId="11" fillId="24" borderId="6" xfId="0" applyNumberFormat="1" applyFont="1" applyFill="1" applyBorder="1" applyAlignment="1" applyProtection="1">
      <alignment horizontal="center" vertical="top"/>
      <protection hidden="1"/>
    </xf>
    <xf numFmtId="166" fontId="22" fillId="24" borderId="8" xfId="0" applyNumberFormat="1" applyFont="1" applyFill="1" applyBorder="1" applyAlignment="1" applyProtection="1">
      <alignment horizontal="center" vertical="center"/>
      <protection hidden="1"/>
    </xf>
    <xf numFmtId="166" fontId="22" fillId="24" borderId="11" xfId="0" applyNumberFormat="1" applyFont="1" applyFill="1" applyBorder="1" applyAlignment="1" applyProtection="1">
      <alignment horizontal="center" vertical="center"/>
      <protection hidden="1"/>
    </xf>
    <xf numFmtId="166" fontId="19" fillId="24" borderId="6" xfId="0" applyNumberFormat="1" applyFont="1" applyFill="1" applyBorder="1" applyAlignment="1" applyProtection="1">
      <alignment horizontal="center" vertical="top"/>
      <protection hidden="1"/>
    </xf>
    <xf numFmtId="166" fontId="19" fillId="24" borderId="11" xfId="0" applyNumberFormat="1" applyFont="1" applyFill="1" applyBorder="1" applyAlignment="1" applyProtection="1">
      <alignment horizontal="center" vertical="top"/>
      <protection hidden="1"/>
    </xf>
    <xf numFmtId="166" fontId="21" fillId="24" borderId="8" xfId="0" applyNumberFormat="1" applyFont="1" applyFill="1" applyBorder="1" applyAlignment="1" applyProtection="1">
      <alignment horizontal="center" vertical="center"/>
      <protection hidden="1"/>
    </xf>
    <xf numFmtId="167" fontId="27" fillId="26" borderId="14" xfId="0" applyNumberFormat="1" applyFont="1" applyFill="1" applyBorder="1" applyAlignment="1" applyProtection="1">
      <alignment horizontal="center" vertical="center"/>
      <protection locked="0" hidden="1"/>
    </xf>
    <xf numFmtId="169" fontId="41" fillId="17" borderId="14" xfId="0" applyNumberFormat="1" applyFont="1" applyFill="1" applyBorder="1" applyAlignment="1" applyProtection="1">
      <alignment horizontal="center" vertical="center"/>
      <protection hidden="1"/>
    </xf>
    <xf numFmtId="165" fontId="11" fillId="28" borderId="0" xfId="1" applyNumberFormat="1" applyFont="1" applyFill="1" applyBorder="1" applyAlignment="1" applyProtection="1">
      <alignment horizontal="center" vertical="center"/>
      <protection hidden="1"/>
    </xf>
    <xf numFmtId="0" fontId="3" fillId="28" borderId="0" xfId="0" applyFont="1" applyFill="1" applyProtection="1">
      <protection hidden="1"/>
    </xf>
    <xf numFmtId="0" fontId="13" fillId="28" borderId="0" xfId="2" applyFont="1" applyFill="1" applyAlignment="1" applyProtection="1">
      <alignment vertical="center"/>
      <protection hidden="1"/>
    </xf>
    <xf numFmtId="0" fontId="14" fillId="28" borderId="0" xfId="0" quotePrefix="1" applyFont="1" applyFill="1" applyAlignment="1" applyProtection="1">
      <alignment vertical="center" wrapText="1"/>
      <protection hidden="1"/>
    </xf>
    <xf numFmtId="0" fontId="17" fillId="28" borderId="0" xfId="2" applyFont="1" applyFill="1" applyAlignment="1" applyProtection="1">
      <alignment vertical="center"/>
      <protection hidden="1"/>
    </xf>
    <xf numFmtId="166" fontId="22" fillId="28" borderId="0" xfId="0" applyNumberFormat="1" applyFont="1" applyFill="1" applyAlignment="1" applyProtection="1">
      <alignment horizontal="center" vertical="center"/>
      <protection hidden="1"/>
    </xf>
    <xf numFmtId="165" fontId="24" fillId="28" borderId="0" xfId="1" applyNumberFormat="1" applyFont="1" applyFill="1" applyBorder="1" applyAlignment="1" applyProtection="1">
      <alignment horizontal="center" vertical="center"/>
      <protection hidden="1"/>
    </xf>
    <xf numFmtId="0" fontId="3" fillId="28" borderId="0" xfId="0" applyFont="1" applyFill="1"/>
    <xf numFmtId="0" fontId="32" fillId="28" borderId="0" xfId="2" applyFont="1" applyFill="1" applyAlignment="1" applyProtection="1">
      <alignment vertical="center"/>
      <protection hidden="1"/>
    </xf>
    <xf numFmtId="0" fontId="3" fillId="28" borderId="0" xfId="0" quotePrefix="1" applyFont="1" applyFill="1" applyAlignment="1" applyProtection="1">
      <alignment vertical="center"/>
      <protection hidden="1"/>
    </xf>
    <xf numFmtId="0" fontId="21" fillId="28" borderId="0" xfId="0" applyFont="1" applyFill="1" applyAlignment="1">
      <alignment horizontal="center"/>
    </xf>
    <xf numFmtId="0" fontId="3" fillId="28" borderId="0" xfId="0" quotePrefix="1" applyFont="1" applyFill="1" applyAlignment="1" applyProtection="1">
      <alignment horizontal="center" vertical="center"/>
      <protection hidden="1"/>
    </xf>
    <xf numFmtId="0" fontId="33" fillId="28" borderId="0" xfId="0" quotePrefix="1" applyFont="1" applyFill="1" applyAlignment="1">
      <alignment vertical="center" wrapText="1"/>
    </xf>
    <xf numFmtId="0" fontId="33" fillId="28" borderId="0" xfId="2" applyFont="1" applyFill="1" applyAlignment="1" applyProtection="1">
      <alignment vertical="center"/>
      <protection hidden="1"/>
    </xf>
    <xf numFmtId="0" fontId="9" fillId="28" borderId="0" xfId="2" applyFont="1" applyFill="1" applyAlignment="1" applyProtection="1">
      <alignment horizontal="center" vertical="center"/>
      <protection hidden="1"/>
    </xf>
    <xf numFmtId="0" fontId="18" fillId="28" borderId="0" xfId="2" applyFont="1" applyFill="1" applyAlignment="1" applyProtection="1">
      <alignment vertical="top"/>
      <protection hidden="1"/>
    </xf>
    <xf numFmtId="165" fontId="24" fillId="28" borderId="0" xfId="1" applyNumberFormat="1" applyFont="1" applyFill="1" applyBorder="1" applyAlignment="1" applyProtection="1">
      <alignment vertical="center"/>
      <protection hidden="1"/>
    </xf>
    <xf numFmtId="0" fontId="35" fillId="28" borderId="0" xfId="2" applyFont="1" applyFill="1" applyProtection="1">
      <protection hidden="1"/>
    </xf>
    <xf numFmtId="0" fontId="37" fillId="28" borderId="0" xfId="3" applyFont="1" applyFill="1" applyBorder="1" applyAlignment="1">
      <alignment vertical="center"/>
    </xf>
    <xf numFmtId="170" fontId="38" fillId="28" borderId="0" xfId="0" quotePrefix="1" applyNumberFormat="1" applyFont="1" applyFill="1" applyAlignment="1" applyProtection="1">
      <alignment vertical="top" wrapText="1"/>
      <protection hidden="1"/>
    </xf>
    <xf numFmtId="170" fontId="38" fillId="28" borderId="0" xfId="0" quotePrefix="1" applyNumberFormat="1" applyFont="1" applyFill="1" applyAlignment="1" applyProtection="1">
      <alignment vertical="center" wrapText="1"/>
      <protection hidden="1"/>
    </xf>
    <xf numFmtId="0" fontId="16" fillId="28" borderId="0" xfId="2" applyFont="1" applyFill="1" applyProtection="1">
      <protection hidden="1"/>
    </xf>
    <xf numFmtId="165" fontId="18" fillId="28" borderId="0" xfId="1" applyNumberFormat="1" applyFont="1" applyFill="1" applyBorder="1" applyAlignment="1" applyProtection="1">
      <alignment horizontal="center" vertical="center"/>
      <protection hidden="1"/>
    </xf>
    <xf numFmtId="165" fontId="20" fillId="28" borderId="0" xfId="1" applyNumberFormat="1" applyFont="1" applyFill="1" applyBorder="1" applyAlignment="1" applyProtection="1">
      <alignment horizontal="center" vertical="center"/>
      <protection hidden="1"/>
    </xf>
    <xf numFmtId="169" fontId="24" fillId="28" borderId="0" xfId="0" quotePrefix="1" applyNumberFormat="1" applyFont="1" applyFill="1" applyAlignment="1" applyProtection="1">
      <alignment horizontal="right" vertical="center"/>
      <protection hidden="1"/>
    </xf>
    <xf numFmtId="169" fontId="22" fillId="28" borderId="0" xfId="0" quotePrefix="1" applyNumberFormat="1" applyFont="1" applyFill="1" applyAlignment="1" applyProtection="1">
      <alignment horizontal="center"/>
      <protection hidden="1"/>
    </xf>
    <xf numFmtId="0" fontId="35" fillId="28" borderId="0" xfId="2" applyFont="1" applyFill="1" applyAlignment="1" applyProtection="1">
      <alignment vertical="center"/>
      <protection hidden="1"/>
    </xf>
    <xf numFmtId="169" fontId="11" fillId="28" borderId="0" xfId="0" quotePrefix="1" applyNumberFormat="1" applyFont="1" applyFill="1" applyAlignment="1" applyProtection="1">
      <alignment horizontal="center"/>
      <protection hidden="1"/>
    </xf>
    <xf numFmtId="166" fontId="30" fillId="28" borderId="0" xfId="0" applyNumberFormat="1" applyFont="1" applyFill="1" applyAlignment="1" applyProtection="1">
      <alignment vertical="top"/>
      <protection hidden="1"/>
    </xf>
    <xf numFmtId="170" fontId="31" fillId="28" borderId="18" xfId="0" quotePrefix="1" applyNumberFormat="1" applyFont="1" applyFill="1" applyBorder="1" applyAlignment="1" applyProtection="1">
      <alignment vertical="center" wrapText="1"/>
      <protection hidden="1"/>
    </xf>
    <xf numFmtId="165" fontId="11" fillId="31" borderId="9" xfId="1" applyNumberFormat="1" applyFont="1" applyFill="1" applyBorder="1" applyAlignment="1" applyProtection="1">
      <alignment horizontal="center" vertical="center"/>
      <protection hidden="1"/>
    </xf>
    <xf numFmtId="165" fontId="11" fillId="31" borderId="10" xfId="1" applyNumberFormat="1" applyFont="1" applyFill="1" applyBorder="1" applyAlignment="1" applyProtection="1">
      <alignment horizontal="center" vertical="center"/>
      <protection hidden="1"/>
    </xf>
    <xf numFmtId="165" fontId="11" fillId="31" borderId="0" xfId="1" applyNumberFormat="1" applyFont="1" applyFill="1" applyBorder="1" applyAlignment="1" applyProtection="1">
      <alignment horizontal="center" vertical="center"/>
      <protection hidden="1"/>
    </xf>
    <xf numFmtId="0" fontId="16" fillId="30" borderId="9" xfId="2" applyFont="1" applyFill="1" applyBorder="1" applyAlignment="1" applyProtection="1">
      <alignment vertical="center"/>
      <protection hidden="1"/>
    </xf>
    <xf numFmtId="0" fontId="16" fillId="30" borderId="0" xfId="2" applyFont="1" applyFill="1" applyAlignment="1" applyProtection="1">
      <alignment vertical="center"/>
      <protection hidden="1"/>
    </xf>
    <xf numFmtId="0" fontId="16" fillId="30" borderId="0" xfId="2" applyFont="1" applyFill="1" applyAlignment="1" applyProtection="1">
      <alignment horizontal="center" vertical="center"/>
      <protection hidden="1"/>
    </xf>
    <xf numFmtId="0" fontId="16" fillId="30" borderId="10" xfId="2" applyFont="1" applyFill="1" applyBorder="1" applyAlignment="1" applyProtection="1">
      <alignment vertical="center"/>
      <protection hidden="1"/>
    </xf>
    <xf numFmtId="165" fontId="11" fillId="32" borderId="9" xfId="1" applyNumberFormat="1" applyFont="1" applyFill="1" applyBorder="1" applyAlignment="1" applyProtection="1">
      <alignment horizontal="center" vertical="center"/>
      <protection hidden="1"/>
    </xf>
    <xf numFmtId="165" fontId="11" fillId="32" borderId="0" xfId="1" applyNumberFormat="1" applyFont="1" applyFill="1" applyBorder="1" applyAlignment="1" applyProtection="1">
      <alignment horizontal="center" vertical="center"/>
      <protection hidden="1"/>
    </xf>
    <xf numFmtId="165" fontId="11" fillId="32" borderId="10" xfId="1" applyNumberFormat="1" applyFont="1" applyFill="1" applyBorder="1" applyAlignment="1" applyProtection="1">
      <alignment horizontal="center" vertical="center"/>
      <protection hidden="1"/>
    </xf>
    <xf numFmtId="166" fontId="11" fillId="27" borderId="13" xfId="0" applyNumberFormat="1" applyFont="1" applyFill="1" applyBorder="1" applyAlignment="1" applyProtection="1">
      <alignment horizontal="center" vertical="top"/>
      <protection hidden="1"/>
    </xf>
    <xf numFmtId="165" fontId="11" fillId="31" borderId="6" xfId="1" applyNumberFormat="1" applyFont="1" applyFill="1" applyBorder="1" applyAlignment="1" applyProtection="1">
      <alignment horizontal="center" vertical="center"/>
      <protection hidden="1"/>
    </xf>
    <xf numFmtId="165" fontId="11" fillId="31" borderId="7" xfId="1" applyNumberFormat="1" applyFont="1" applyFill="1" applyBorder="1" applyAlignment="1" applyProtection="1">
      <alignment horizontal="center" vertical="center"/>
      <protection hidden="1"/>
    </xf>
    <xf numFmtId="165" fontId="11" fillId="31" borderId="8" xfId="1" applyNumberFormat="1" applyFont="1" applyFill="1" applyBorder="1" applyAlignment="1" applyProtection="1">
      <alignment horizontal="center" vertical="center"/>
      <protection hidden="1"/>
    </xf>
    <xf numFmtId="165" fontId="11" fillId="31" borderId="9" xfId="1" applyNumberFormat="1" applyFont="1" applyFill="1" applyBorder="1" applyAlignment="1" applyProtection="1">
      <alignment vertical="center"/>
      <protection hidden="1"/>
    </xf>
    <xf numFmtId="165" fontId="11" fillId="31" borderId="10" xfId="1" applyNumberFormat="1" applyFont="1" applyFill="1" applyBorder="1" applyAlignment="1" applyProtection="1">
      <alignment vertical="center"/>
      <protection hidden="1"/>
    </xf>
    <xf numFmtId="0" fontId="17" fillId="30" borderId="9" xfId="2" applyFont="1" applyFill="1" applyBorder="1" applyProtection="1">
      <protection hidden="1"/>
    </xf>
    <xf numFmtId="0" fontId="17" fillId="30" borderId="10" xfId="2" applyFont="1" applyFill="1" applyBorder="1" applyProtection="1">
      <protection hidden="1"/>
    </xf>
    <xf numFmtId="0" fontId="25" fillId="33" borderId="9" xfId="2" applyFont="1" applyFill="1" applyBorder="1" applyAlignment="1" applyProtection="1">
      <alignment horizontal="center" vertical="center"/>
      <protection hidden="1"/>
    </xf>
    <xf numFmtId="14" fontId="25" fillId="33" borderId="10" xfId="2" quotePrefix="1" applyNumberFormat="1" applyFont="1" applyFill="1" applyBorder="1" applyAlignment="1" applyProtection="1">
      <alignment horizontal="center" vertical="center"/>
      <protection hidden="1"/>
    </xf>
    <xf numFmtId="165" fontId="11" fillId="31" borderId="20" xfId="1" applyNumberFormat="1" applyFont="1" applyFill="1" applyBorder="1" applyAlignment="1" applyProtection="1">
      <alignment horizontal="center" vertical="center"/>
      <protection hidden="1"/>
    </xf>
    <xf numFmtId="165" fontId="11" fillId="31" borderId="14" xfId="1" applyNumberFormat="1" applyFont="1" applyFill="1" applyBorder="1" applyAlignment="1" applyProtection="1">
      <alignment horizontal="center" vertical="center"/>
      <protection hidden="1"/>
    </xf>
    <xf numFmtId="0" fontId="3" fillId="33" borderId="0" xfId="0" applyFont="1" applyFill="1" applyProtection="1">
      <protection hidden="1"/>
    </xf>
    <xf numFmtId="0" fontId="3" fillId="33" borderId="10" xfId="0" applyFont="1" applyFill="1" applyBorder="1" applyProtection="1">
      <protection hidden="1"/>
    </xf>
    <xf numFmtId="166" fontId="30" fillId="33" borderId="0" xfId="0" applyNumberFormat="1" applyFont="1" applyFill="1" applyAlignment="1" applyProtection="1">
      <alignment vertical="top"/>
      <protection hidden="1"/>
    </xf>
    <xf numFmtId="166" fontId="30" fillId="33" borderId="10" xfId="0" applyNumberFormat="1" applyFont="1" applyFill="1" applyBorder="1" applyAlignment="1" applyProtection="1">
      <alignment vertical="top"/>
      <protection hidden="1"/>
    </xf>
    <xf numFmtId="166" fontId="30" fillId="33" borderId="32" xfId="0" applyNumberFormat="1" applyFont="1" applyFill="1" applyBorder="1" applyAlignment="1" applyProtection="1">
      <alignment vertical="top"/>
      <protection hidden="1"/>
    </xf>
    <xf numFmtId="166" fontId="30" fillId="33" borderId="5" xfId="0" applyNumberFormat="1" applyFont="1" applyFill="1" applyBorder="1" applyAlignment="1" applyProtection="1">
      <alignment vertical="top"/>
      <protection hidden="1"/>
    </xf>
    <xf numFmtId="0" fontId="3" fillId="33" borderId="4" xfId="0" applyFont="1" applyFill="1" applyBorder="1" applyProtection="1">
      <protection hidden="1"/>
    </xf>
    <xf numFmtId="166" fontId="30" fillId="33" borderId="9" xfId="0" applyNumberFormat="1" applyFont="1" applyFill="1" applyBorder="1" applyAlignment="1" applyProtection="1">
      <alignment vertical="top"/>
      <protection hidden="1"/>
    </xf>
    <xf numFmtId="166" fontId="30" fillId="33" borderId="1" xfId="0" applyNumberFormat="1" applyFont="1" applyFill="1" applyBorder="1" applyAlignment="1" applyProtection="1">
      <alignment vertical="top"/>
      <protection hidden="1"/>
    </xf>
    <xf numFmtId="166" fontId="30" fillId="33" borderId="3" xfId="0" applyNumberFormat="1" applyFont="1" applyFill="1" applyBorder="1" applyAlignment="1" applyProtection="1">
      <alignment vertical="top"/>
      <protection hidden="1"/>
    </xf>
    <xf numFmtId="166" fontId="30" fillId="33" borderId="2" xfId="0" applyNumberFormat="1" applyFont="1" applyFill="1" applyBorder="1" applyAlignment="1" applyProtection="1">
      <alignment vertical="top"/>
      <protection hidden="1"/>
    </xf>
    <xf numFmtId="166" fontId="30" fillId="33" borderId="4" xfId="0" applyNumberFormat="1" applyFont="1" applyFill="1" applyBorder="1" applyAlignment="1" applyProtection="1">
      <alignment vertical="top"/>
      <protection hidden="1"/>
    </xf>
    <xf numFmtId="0" fontId="3" fillId="33" borderId="9" xfId="0" applyFont="1" applyFill="1" applyBorder="1" applyProtection="1">
      <protection hidden="1"/>
    </xf>
    <xf numFmtId="166" fontId="11" fillId="24" borderId="11" xfId="0" applyNumberFormat="1" applyFont="1" applyFill="1" applyBorder="1" applyAlignment="1" applyProtection="1">
      <alignment horizontal="center" vertical="center"/>
      <protection hidden="1"/>
    </xf>
    <xf numFmtId="166" fontId="21" fillId="24" borderId="36" xfId="0" applyNumberFormat="1" applyFont="1" applyFill="1" applyBorder="1" applyAlignment="1" applyProtection="1">
      <alignment horizontal="center" vertical="center"/>
      <protection hidden="1"/>
    </xf>
    <xf numFmtId="166" fontId="21" fillId="24" borderId="14" xfId="0" applyNumberFormat="1" applyFont="1" applyFill="1" applyBorder="1" applyAlignment="1" applyProtection="1">
      <alignment horizontal="center" vertical="center"/>
      <protection hidden="1"/>
    </xf>
    <xf numFmtId="165" fontId="11" fillId="31" borderId="1" xfId="1" applyNumberFormat="1" applyFont="1" applyFill="1" applyBorder="1" applyAlignment="1" applyProtection="1">
      <alignment horizontal="center" vertical="center"/>
      <protection hidden="1"/>
    </xf>
    <xf numFmtId="165" fontId="11" fillId="31" borderId="3" xfId="1" applyNumberFormat="1" applyFont="1" applyFill="1" applyBorder="1" applyAlignment="1" applyProtection="1">
      <alignment horizontal="center" vertical="center"/>
      <protection hidden="1"/>
    </xf>
    <xf numFmtId="165" fontId="11" fillId="31" borderId="2" xfId="1" applyNumberFormat="1" applyFont="1" applyFill="1" applyBorder="1" applyAlignment="1" applyProtection="1">
      <alignment horizontal="center" vertical="center"/>
      <protection hidden="1"/>
    </xf>
    <xf numFmtId="165" fontId="11" fillId="31" borderId="0" xfId="1" applyNumberFormat="1" applyFont="1" applyFill="1" applyBorder="1" applyAlignment="1" applyProtection="1">
      <alignment vertical="center"/>
      <protection hidden="1"/>
    </xf>
    <xf numFmtId="0" fontId="17" fillId="30" borderId="0" xfId="2" applyFont="1" applyFill="1" applyProtection="1">
      <protection hidden="1"/>
    </xf>
    <xf numFmtId="0" fontId="3" fillId="33" borderId="4" xfId="0" applyFont="1" applyFill="1" applyBorder="1"/>
    <xf numFmtId="0" fontId="3" fillId="33" borderId="32" xfId="0" applyFont="1" applyFill="1" applyBorder="1"/>
    <xf numFmtId="0" fontId="20" fillId="33" borderId="0" xfId="0" quotePrefix="1" applyFont="1" applyFill="1" applyAlignment="1" applyProtection="1">
      <alignment horizontal="center" vertical="center"/>
      <protection hidden="1"/>
    </xf>
    <xf numFmtId="168" fontId="20" fillId="33" borderId="0" xfId="1" applyNumberFormat="1" applyFont="1" applyFill="1" applyBorder="1" applyAlignment="1" applyProtection="1">
      <alignment horizontal="center" vertical="center"/>
      <protection hidden="1"/>
    </xf>
    <xf numFmtId="0" fontId="3" fillId="33" borderId="5" xfId="0" applyFont="1" applyFill="1" applyBorder="1"/>
    <xf numFmtId="170" fontId="42" fillId="33" borderId="4" xfId="0" quotePrefix="1" applyNumberFormat="1" applyFont="1" applyFill="1" applyBorder="1" applyAlignment="1" applyProtection="1">
      <alignment vertical="center" wrapText="1"/>
      <protection hidden="1"/>
    </xf>
    <xf numFmtId="170" fontId="42" fillId="33" borderId="32" xfId="0" quotePrefix="1" applyNumberFormat="1" applyFont="1" applyFill="1" applyBorder="1" applyAlignment="1" applyProtection="1">
      <alignment vertical="center" wrapText="1"/>
      <protection hidden="1"/>
    </xf>
    <xf numFmtId="170" fontId="38" fillId="33" borderId="5" xfId="0" quotePrefix="1" applyNumberFormat="1" applyFont="1" applyFill="1" applyBorder="1" applyAlignment="1" applyProtection="1">
      <alignment vertical="center" wrapText="1"/>
      <protection hidden="1"/>
    </xf>
    <xf numFmtId="165" fontId="11" fillId="33" borderId="0" xfId="1" applyNumberFormat="1" applyFont="1" applyFill="1" applyBorder="1" applyAlignment="1" applyProtection="1">
      <alignment horizontal="center" vertical="center"/>
      <protection hidden="1"/>
    </xf>
    <xf numFmtId="0" fontId="37" fillId="33" borderId="0" xfId="3" applyFont="1" applyFill="1" applyBorder="1" applyAlignment="1">
      <alignment vertical="center"/>
    </xf>
    <xf numFmtId="0" fontId="13" fillId="28" borderId="23" xfId="2" applyFont="1" applyFill="1" applyBorder="1" applyAlignment="1" applyProtection="1">
      <alignment vertical="center"/>
      <protection hidden="1"/>
    </xf>
    <xf numFmtId="0" fontId="13" fillId="28" borderId="7" xfId="2" applyFont="1" applyFill="1" applyBorder="1" applyAlignment="1" applyProtection="1">
      <alignment vertical="center"/>
      <protection hidden="1"/>
    </xf>
    <xf numFmtId="0" fontId="14" fillId="28" borderId="0" xfId="0" quotePrefix="1" applyFont="1" applyFill="1" applyAlignment="1" applyProtection="1">
      <alignment horizontal="center" vertical="center" wrapText="1"/>
      <protection hidden="1"/>
    </xf>
    <xf numFmtId="0" fontId="0" fillId="18" borderId="0" xfId="0" applyFill="1"/>
    <xf numFmtId="169" fontId="21" fillId="7" borderId="8" xfId="0" applyNumberFormat="1" applyFont="1" applyFill="1" applyBorder="1" applyAlignment="1" applyProtection="1">
      <alignment horizontal="center" vertical="center"/>
      <protection hidden="1"/>
    </xf>
    <xf numFmtId="168" fontId="22" fillId="0" borderId="29" xfId="1" applyNumberFormat="1" applyFont="1" applyBorder="1" applyAlignment="1" applyProtection="1">
      <alignment horizontal="center" vertical="center"/>
      <protection hidden="1"/>
    </xf>
    <xf numFmtId="168" fontId="22" fillId="0" borderId="30" xfId="1" applyNumberFormat="1" applyFont="1" applyBorder="1" applyAlignment="1" applyProtection="1">
      <alignment horizontal="center" vertical="center"/>
      <protection hidden="1"/>
    </xf>
    <xf numFmtId="0" fontId="3" fillId="13" borderId="0" xfId="0" applyFont="1" applyFill="1"/>
    <xf numFmtId="170" fontId="42" fillId="13" borderId="0" xfId="0" quotePrefix="1" applyNumberFormat="1" applyFont="1" applyFill="1" applyAlignment="1" applyProtection="1">
      <alignment vertical="center" wrapText="1"/>
      <protection hidden="1"/>
    </xf>
    <xf numFmtId="170" fontId="38" fillId="13" borderId="0" xfId="0" quotePrefix="1" applyNumberFormat="1" applyFont="1" applyFill="1" applyAlignment="1" applyProtection="1">
      <alignment vertical="center" wrapText="1"/>
      <protection hidden="1"/>
    </xf>
    <xf numFmtId="166" fontId="61" fillId="35" borderId="14" xfId="0" applyNumberFormat="1" applyFont="1" applyFill="1" applyBorder="1" applyAlignment="1" applyProtection="1">
      <alignment horizontal="center" vertical="center"/>
      <protection hidden="1"/>
    </xf>
    <xf numFmtId="0" fontId="3" fillId="13" borderId="1" xfId="0" applyFont="1" applyFill="1" applyBorder="1"/>
    <xf numFmtId="0" fontId="3" fillId="13" borderId="3" xfId="0" applyFont="1" applyFill="1" applyBorder="1"/>
    <xf numFmtId="0" fontId="3" fillId="13" borderId="2" xfId="0" applyFont="1" applyFill="1" applyBorder="1"/>
    <xf numFmtId="0" fontId="3" fillId="13" borderId="9" xfId="0" applyFont="1" applyFill="1" applyBorder="1"/>
    <xf numFmtId="0" fontId="3" fillId="13" borderId="10" xfId="0" applyFont="1" applyFill="1" applyBorder="1"/>
    <xf numFmtId="166" fontId="22" fillId="7" borderId="20" xfId="0" applyNumberFormat="1" applyFont="1" applyFill="1" applyBorder="1" applyAlignment="1" applyProtection="1">
      <alignment horizontal="center" vertical="center"/>
      <protection hidden="1"/>
    </xf>
    <xf numFmtId="166" fontId="22" fillId="35" borderId="20" xfId="0" applyNumberFormat="1" applyFont="1" applyFill="1" applyBorder="1" applyAlignment="1" applyProtection="1">
      <alignment horizontal="center" vertical="center"/>
      <protection hidden="1"/>
    </xf>
    <xf numFmtId="0" fontId="22" fillId="15" borderId="17" xfId="0" applyFont="1" applyFill="1" applyBorder="1" applyAlignment="1" applyProtection="1">
      <alignment vertical="center"/>
      <protection hidden="1"/>
    </xf>
    <xf numFmtId="0" fontId="22" fillId="15" borderId="18" xfId="0" applyFont="1" applyFill="1" applyBorder="1" applyAlignment="1" applyProtection="1">
      <alignment vertical="center"/>
      <protection hidden="1"/>
    </xf>
    <xf numFmtId="0" fontId="25" fillId="10" borderId="13" xfId="0" applyFont="1" applyFill="1" applyBorder="1" applyAlignment="1" applyProtection="1">
      <alignment vertical="center"/>
      <protection hidden="1"/>
    </xf>
    <xf numFmtId="0" fontId="25" fillId="10" borderId="20" xfId="0" applyFont="1" applyFill="1" applyBorder="1" applyAlignment="1" applyProtection="1">
      <alignment vertical="center"/>
      <protection hidden="1"/>
    </xf>
    <xf numFmtId="169" fontId="0" fillId="0" borderId="20" xfId="0" applyNumberFormat="1" applyBorder="1" applyAlignment="1" applyProtection="1">
      <alignment horizontal="center" vertical="center"/>
      <protection hidden="1"/>
    </xf>
    <xf numFmtId="0" fontId="47" fillId="0" borderId="20" xfId="0" applyFont="1" applyBorder="1" applyAlignment="1" applyProtection="1">
      <alignment horizontal="center" vertical="center"/>
      <protection hidden="1"/>
    </xf>
    <xf numFmtId="0" fontId="45" fillId="0" borderId="20" xfId="0" applyFont="1" applyBorder="1" applyAlignment="1" applyProtection="1">
      <alignment horizontal="center" vertical="center"/>
      <protection hidden="1"/>
    </xf>
    <xf numFmtId="0" fontId="44" fillId="0" borderId="20" xfId="0" applyFont="1" applyBorder="1" applyAlignment="1" applyProtection="1">
      <alignment horizontal="center" vertical="center"/>
      <protection hidden="1"/>
    </xf>
    <xf numFmtId="169" fontId="21" fillId="7" borderId="8" xfId="0" applyNumberFormat="1" applyFont="1" applyFill="1" applyBorder="1" applyAlignment="1" applyProtection="1">
      <alignment horizontal="center" vertical="center" wrapText="1"/>
      <protection hidden="1"/>
    </xf>
    <xf numFmtId="0" fontId="0" fillId="0" borderId="20" xfId="0" applyBorder="1" applyAlignment="1" applyProtection="1">
      <alignment horizontal="center" vertical="center"/>
      <protection hidden="1"/>
    </xf>
    <xf numFmtId="169" fontId="47" fillId="0" borderId="20" xfId="0" applyNumberFormat="1" applyFont="1" applyBorder="1" applyAlignment="1" applyProtection="1">
      <alignment horizontal="center" vertical="center"/>
      <protection hidden="1"/>
    </xf>
    <xf numFmtId="165" fontId="49" fillId="18" borderId="27" xfId="1" applyNumberFormat="1" applyFont="1" applyFill="1" applyBorder="1" applyAlignment="1" applyProtection="1">
      <alignment horizontal="center" vertical="center"/>
      <protection hidden="1"/>
    </xf>
    <xf numFmtId="169" fontId="49" fillId="18" borderId="27" xfId="0" quotePrefix="1" applyNumberFormat="1" applyFont="1" applyFill="1" applyBorder="1" applyAlignment="1" applyProtection="1">
      <alignment horizontal="center" vertical="top"/>
      <protection hidden="1"/>
    </xf>
    <xf numFmtId="0" fontId="0" fillId="36" borderId="20" xfId="0" applyFill="1" applyBorder="1"/>
    <xf numFmtId="0" fontId="47" fillId="36" borderId="20" xfId="0" applyFont="1" applyFill="1" applyBorder="1" applyProtection="1">
      <protection hidden="1"/>
    </xf>
    <xf numFmtId="0" fontId="64" fillId="36" borderId="1" xfId="0" applyFont="1" applyFill="1" applyBorder="1" applyProtection="1">
      <protection hidden="1"/>
    </xf>
    <xf numFmtId="0" fontId="65" fillId="36" borderId="20" xfId="0" applyFont="1" applyFill="1" applyBorder="1" applyAlignment="1" applyProtection="1">
      <alignment horizontal="left"/>
      <protection hidden="1"/>
    </xf>
    <xf numFmtId="0" fontId="66" fillId="36" borderId="20" xfId="0" applyFont="1" applyFill="1" applyBorder="1"/>
    <xf numFmtId="0" fontId="64" fillId="36" borderId="9" xfId="0" applyFont="1" applyFill="1" applyBorder="1" applyProtection="1">
      <protection hidden="1"/>
    </xf>
    <xf numFmtId="0" fontId="66" fillId="36" borderId="4" xfId="0" applyFont="1" applyFill="1" applyBorder="1"/>
    <xf numFmtId="0" fontId="45" fillId="36" borderId="7" xfId="0" applyFont="1" applyFill="1" applyBorder="1" applyAlignment="1" applyProtection="1">
      <alignment horizontal="left"/>
      <protection hidden="1"/>
    </xf>
    <xf numFmtId="0" fontId="0" fillId="36" borderId="0" xfId="0" applyFill="1" applyProtection="1">
      <protection hidden="1"/>
    </xf>
    <xf numFmtId="171" fontId="0" fillId="0" borderId="0" xfId="0" applyNumberFormat="1" applyAlignment="1" applyProtection="1">
      <alignment horizontal="center"/>
      <protection hidden="1"/>
    </xf>
    <xf numFmtId="169" fontId="0" fillId="0" borderId="0" xfId="0" applyNumberFormat="1" applyAlignment="1" applyProtection="1">
      <alignment horizontal="center"/>
      <protection hidden="1"/>
    </xf>
    <xf numFmtId="0" fontId="0" fillId="36" borderId="0" xfId="0" applyFill="1"/>
    <xf numFmtId="0" fontId="47" fillId="36" borderId="0" xfId="0" applyFont="1" applyFill="1" applyProtection="1">
      <protection hidden="1"/>
    </xf>
    <xf numFmtId="0" fontId="46" fillId="36" borderId="0" xfId="0" applyFont="1" applyFill="1" applyProtection="1">
      <protection hidden="1"/>
    </xf>
    <xf numFmtId="0" fontId="53" fillId="36" borderId="7" xfId="0" applyFont="1" applyFill="1" applyBorder="1" applyAlignment="1" applyProtection="1">
      <alignment horizontal="left"/>
      <protection hidden="1"/>
    </xf>
    <xf numFmtId="0" fontId="25" fillId="36" borderId="0" xfId="0" applyFont="1" applyFill="1"/>
    <xf numFmtId="0" fontId="25" fillId="36" borderId="0" xfId="0" applyFont="1" applyFill="1" applyProtection="1">
      <protection hidden="1"/>
    </xf>
    <xf numFmtId="0" fontId="48" fillId="36" borderId="0" xfId="0" applyFont="1" applyFill="1" applyProtection="1">
      <protection hidden="1"/>
    </xf>
    <xf numFmtId="0" fontId="51" fillId="36" borderId="0" xfId="0" applyFont="1" applyFill="1" applyProtection="1">
      <protection hidden="1"/>
    </xf>
    <xf numFmtId="0" fontId="0" fillId="36" borderId="20" xfId="0" applyFill="1" applyBorder="1" applyProtection="1">
      <protection hidden="1"/>
    </xf>
    <xf numFmtId="0" fontId="47" fillId="36" borderId="20" xfId="0" applyFont="1" applyFill="1" applyBorder="1" applyAlignment="1" applyProtection="1">
      <alignment horizontal="left"/>
      <protection hidden="1"/>
    </xf>
    <xf numFmtId="0" fontId="0" fillId="36" borderId="20" xfId="0" applyFill="1" applyBorder="1" applyAlignment="1" applyProtection="1">
      <alignment horizontal="left"/>
      <protection hidden="1"/>
    </xf>
    <xf numFmtId="0" fontId="0" fillId="36" borderId="0" xfId="0" applyFill="1" applyAlignment="1">
      <alignment vertical="center"/>
    </xf>
    <xf numFmtId="0" fontId="47" fillId="18" borderId="0" xfId="0" applyFont="1" applyFill="1" applyProtection="1">
      <protection hidden="1"/>
    </xf>
    <xf numFmtId="0" fontId="47" fillId="18" borderId="20" xfId="0" applyFont="1" applyFill="1" applyBorder="1" applyAlignment="1" applyProtection="1">
      <alignment horizontal="left"/>
      <protection hidden="1"/>
    </xf>
    <xf numFmtId="0" fontId="0" fillId="36" borderId="0" xfId="0" applyFill="1" applyAlignment="1" applyProtection="1">
      <alignment horizontal="left" vertical="center" wrapText="1"/>
      <protection hidden="1"/>
    </xf>
    <xf numFmtId="0" fontId="47" fillId="36" borderId="17" xfId="0" quotePrefix="1" applyFont="1" applyFill="1" applyBorder="1" applyAlignment="1" applyProtection="1">
      <alignment vertical="center"/>
      <protection hidden="1"/>
    </xf>
    <xf numFmtId="0" fontId="47" fillId="36" borderId="18" xfId="0" quotePrefix="1" applyFont="1" applyFill="1" applyBorder="1" applyAlignment="1" applyProtection="1">
      <alignment vertical="center"/>
      <protection hidden="1"/>
    </xf>
    <xf numFmtId="165" fontId="49" fillId="36" borderId="27" xfId="1" applyNumberFormat="1" applyFont="1" applyFill="1" applyBorder="1" applyAlignment="1" applyProtection="1">
      <alignment horizontal="center" vertical="center"/>
      <protection hidden="1"/>
    </xf>
    <xf numFmtId="0" fontId="60" fillId="18" borderId="37" xfId="0" quotePrefix="1" applyFont="1" applyFill="1" applyBorder="1" applyAlignment="1" applyProtection="1">
      <alignment vertical="center"/>
      <protection hidden="1"/>
    </xf>
    <xf numFmtId="0" fontId="60" fillId="18" borderId="38" xfId="0" quotePrefix="1" applyFont="1" applyFill="1" applyBorder="1" applyAlignment="1" applyProtection="1">
      <alignment vertical="center"/>
      <protection hidden="1"/>
    </xf>
    <xf numFmtId="165" fontId="57" fillId="18" borderId="39" xfId="1" applyNumberFormat="1" applyFont="1" applyFill="1" applyBorder="1" applyAlignment="1" applyProtection="1">
      <alignment vertical="center"/>
      <protection hidden="1"/>
    </xf>
    <xf numFmtId="0" fontId="65" fillId="36" borderId="29" xfId="0" applyFont="1" applyFill="1" applyBorder="1" applyProtection="1">
      <protection hidden="1"/>
    </xf>
    <xf numFmtId="0" fontId="66" fillId="36" borderId="29" xfId="0" applyFont="1" applyFill="1" applyBorder="1"/>
    <xf numFmtId="0" fontId="65" fillId="0" borderId="0" xfId="0" applyFont="1" applyProtection="1">
      <protection hidden="1"/>
    </xf>
    <xf numFmtId="0" fontId="66" fillId="0" borderId="0" xfId="0" applyFont="1"/>
    <xf numFmtId="0" fontId="44" fillId="0" borderId="0" xfId="0" applyFont="1" applyProtection="1">
      <protection hidden="1"/>
    </xf>
    <xf numFmtId="0" fontId="67" fillId="0" borderId="0" xfId="0" applyFont="1" applyProtection="1">
      <protection hidden="1"/>
    </xf>
    <xf numFmtId="0" fontId="0" fillId="36" borderId="29" xfId="0" applyFill="1" applyBorder="1"/>
    <xf numFmtId="0" fontId="44" fillId="18" borderId="20" xfId="0" applyFont="1" applyFill="1" applyBorder="1" applyAlignment="1" applyProtection="1">
      <alignment horizontal="left"/>
      <protection hidden="1"/>
    </xf>
    <xf numFmtId="0" fontId="44" fillId="18" borderId="29" xfId="0" applyFont="1" applyFill="1" applyBorder="1" applyAlignment="1" applyProtection="1">
      <alignment horizontal="left"/>
      <protection hidden="1"/>
    </xf>
    <xf numFmtId="0" fontId="0" fillId="18" borderId="29" xfId="0" applyFill="1" applyBorder="1"/>
    <xf numFmtId="0" fontId="47" fillId="23" borderId="20" xfId="0" applyFont="1" applyFill="1" applyBorder="1" applyAlignment="1" applyProtection="1">
      <alignment horizontal="center" vertical="center"/>
      <protection hidden="1"/>
    </xf>
    <xf numFmtId="0" fontId="45" fillId="36" borderId="0" xfId="0" applyFont="1" applyFill="1" applyProtection="1">
      <protection hidden="1"/>
    </xf>
    <xf numFmtId="0" fontId="0" fillId="36" borderId="0" xfId="0" applyFill="1" applyAlignment="1" applyProtection="1">
      <alignment horizontal="center" vertical="center"/>
      <protection hidden="1"/>
    </xf>
    <xf numFmtId="166" fontId="25" fillId="0" borderId="20" xfId="0" applyNumberFormat="1" applyFont="1" applyBorder="1" applyAlignment="1" applyProtection="1">
      <alignment horizontal="center" vertical="center"/>
      <protection hidden="1"/>
    </xf>
    <xf numFmtId="166" fontId="22" fillId="0" borderId="20" xfId="0" applyNumberFormat="1" applyFont="1" applyBorder="1" applyAlignment="1" applyProtection="1">
      <alignment horizontal="center" vertical="center"/>
      <protection hidden="1"/>
    </xf>
    <xf numFmtId="166" fontId="22" fillId="0" borderId="14" xfId="0" applyNumberFormat="1" applyFont="1" applyBorder="1" applyAlignment="1" applyProtection="1">
      <alignment horizontal="center" vertical="center"/>
      <protection hidden="1"/>
    </xf>
    <xf numFmtId="166" fontId="22" fillId="0" borderId="11" xfId="0" applyNumberFormat="1" applyFont="1" applyBorder="1" applyAlignment="1" applyProtection="1">
      <alignment horizontal="center" vertical="center"/>
      <protection hidden="1"/>
    </xf>
    <xf numFmtId="0" fontId="46" fillId="29" borderId="0" xfId="0" applyFont="1" applyFill="1" applyProtection="1">
      <protection hidden="1"/>
    </xf>
    <xf numFmtId="165" fontId="11" fillId="4" borderId="33" xfId="1" applyNumberFormat="1" applyFont="1" applyFill="1" applyBorder="1" applyAlignment="1" applyProtection="1">
      <alignment horizontal="center" vertical="center"/>
      <protection hidden="1"/>
    </xf>
    <xf numFmtId="165" fontId="11" fillId="4" borderId="52" xfId="1" applyNumberFormat="1" applyFont="1" applyFill="1" applyBorder="1" applyAlignment="1" applyProtection="1">
      <alignment horizontal="center" vertical="center"/>
      <protection hidden="1"/>
    </xf>
    <xf numFmtId="165" fontId="11" fillId="4" borderId="53" xfId="1" applyNumberFormat="1" applyFont="1" applyFill="1" applyBorder="1" applyAlignment="1" applyProtection="1">
      <alignment horizontal="center" vertical="center"/>
      <protection hidden="1"/>
    </xf>
    <xf numFmtId="165" fontId="11" fillId="34" borderId="10" xfId="1" applyNumberFormat="1" applyFont="1" applyFill="1" applyBorder="1" applyAlignment="1" applyProtection="1">
      <alignment horizontal="center" vertical="center"/>
      <protection hidden="1"/>
    </xf>
    <xf numFmtId="165" fontId="11" fillId="34" borderId="9" xfId="1" applyNumberFormat="1" applyFont="1" applyFill="1" applyBorder="1" applyAlignment="1" applyProtection="1">
      <alignment horizontal="center" vertical="center"/>
      <protection hidden="1"/>
    </xf>
    <xf numFmtId="165" fontId="11" fillId="34" borderId="0" xfId="1" applyNumberFormat="1" applyFont="1" applyFill="1" applyBorder="1" applyAlignment="1" applyProtection="1">
      <alignment horizontal="center" vertical="center"/>
      <protection hidden="1"/>
    </xf>
    <xf numFmtId="165" fontId="11" fillId="39" borderId="9" xfId="1" applyNumberFormat="1" applyFont="1" applyFill="1" applyBorder="1" applyAlignment="1" applyProtection="1">
      <alignment horizontal="center" vertical="center"/>
      <protection hidden="1"/>
    </xf>
    <xf numFmtId="165" fontId="11" fillId="39" borderId="10" xfId="1" applyNumberFormat="1" applyFont="1" applyFill="1" applyBorder="1" applyAlignment="1" applyProtection="1">
      <alignment horizontal="center" vertical="center"/>
      <protection hidden="1"/>
    </xf>
    <xf numFmtId="165" fontId="11" fillId="39" borderId="0" xfId="1" applyNumberFormat="1" applyFont="1" applyFill="1" applyBorder="1" applyAlignment="1" applyProtection="1">
      <alignment horizontal="center" vertical="center"/>
      <protection hidden="1"/>
    </xf>
    <xf numFmtId="0" fontId="68" fillId="0" borderId="0" xfId="0" applyFont="1" applyProtection="1">
      <protection hidden="1"/>
    </xf>
    <xf numFmtId="0" fontId="68" fillId="29" borderId="0" xfId="0" applyFont="1" applyFill="1" applyProtection="1">
      <protection hidden="1"/>
    </xf>
    <xf numFmtId="0" fontId="69" fillId="0" borderId="0" xfId="0" applyFont="1" applyProtection="1">
      <protection hidden="1"/>
    </xf>
    <xf numFmtId="166" fontId="3" fillId="0" borderId="20" xfId="0" applyNumberFormat="1" applyFont="1" applyBorder="1" applyAlignment="1" applyProtection="1">
      <alignment horizontal="center" vertical="center"/>
      <protection hidden="1"/>
    </xf>
    <xf numFmtId="0" fontId="71" fillId="0" borderId="0" xfId="6" applyFont="1" applyAlignment="1">
      <alignment horizontal="center" vertical="center" wrapText="1"/>
    </xf>
    <xf numFmtId="0" fontId="74" fillId="0" borderId="70" xfId="6" applyFont="1" applyBorder="1" applyAlignment="1">
      <alignment horizontal="center" vertical="center" wrapText="1"/>
    </xf>
    <xf numFmtId="0" fontId="76" fillId="0" borderId="70" xfId="6" applyFont="1" applyBorder="1" applyAlignment="1">
      <alignment horizontal="center" vertical="center" wrapText="1"/>
    </xf>
    <xf numFmtId="0" fontId="74" fillId="42" borderId="70" xfId="6" applyFont="1" applyFill="1" applyBorder="1" applyAlignment="1">
      <alignment horizontal="center" vertical="center" wrapText="1"/>
    </xf>
    <xf numFmtId="0" fontId="71" fillId="42" borderId="70" xfId="6" applyFont="1" applyFill="1" applyBorder="1" applyAlignment="1">
      <alignment horizontal="center" vertical="center" wrapText="1"/>
    </xf>
    <xf numFmtId="0" fontId="76" fillId="42" borderId="70" xfId="6" applyFont="1" applyFill="1" applyBorder="1" applyAlignment="1">
      <alignment horizontal="center" vertical="center" wrapText="1"/>
    </xf>
    <xf numFmtId="0" fontId="71" fillId="0" borderId="70" xfId="6" applyFont="1" applyBorder="1" applyAlignment="1">
      <alignment horizontal="center" vertical="center" wrapText="1"/>
    </xf>
    <xf numFmtId="0" fontId="76" fillId="43" borderId="70" xfId="6" applyFont="1" applyFill="1" applyBorder="1" applyAlignment="1">
      <alignment horizontal="center" vertical="center" wrapText="1"/>
    </xf>
    <xf numFmtId="0" fontId="71" fillId="0" borderId="67" xfId="6" applyFont="1" applyBorder="1" applyAlignment="1">
      <alignment horizontal="center" vertical="center" wrapText="1"/>
    </xf>
    <xf numFmtId="0" fontId="71" fillId="0" borderId="69" xfId="6" applyFont="1" applyBorder="1" applyAlignment="1">
      <alignment horizontal="center" vertical="center" wrapText="1"/>
    </xf>
    <xf numFmtId="166" fontId="25" fillId="0" borderId="14" xfId="0" applyNumberFormat="1" applyFont="1" applyBorder="1" applyAlignment="1" applyProtection="1">
      <alignment horizontal="center" vertical="center"/>
      <protection hidden="1"/>
    </xf>
    <xf numFmtId="0" fontId="71" fillId="0" borderId="0" xfId="6" applyFont="1" applyAlignment="1">
      <alignment horizontal="left" vertical="center"/>
    </xf>
    <xf numFmtId="0" fontId="79" fillId="0" borderId="0" xfId="6" applyFont="1" applyAlignment="1">
      <alignment horizontal="center" vertical="center"/>
    </xf>
    <xf numFmtId="0" fontId="79" fillId="0" borderId="0" xfId="6" applyFont="1" applyAlignment="1">
      <alignment vertical="center"/>
    </xf>
    <xf numFmtId="0" fontId="79" fillId="0" borderId="0" xfId="6" applyFont="1" applyAlignment="1">
      <alignment vertical="center" wrapText="1"/>
    </xf>
    <xf numFmtId="0" fontId="71" fillId="0" borderId="0" xfId="6" applyFont="1" applyAlignment="1">
      <alignment vertical="center" wrapText="1"/>
    </xf>
    <xf numFmtId="169" fontId="0" fillId="18" borderId="20" xfId="0" applyNumberFormat="1" applyFill="1" applyBorder="1"/>
    <xf numFmtId="169" fontId="27" fillId="11" borderId="14" xfId="0" applyNumberFormat="1" applyFont="1" applyFill="1" applyBorder="1" applyAlignment="1" applyProtection="1">
      <alignment horizontal="center" vertical="center"/>
      <protection hidden="1"/>
    </xf>
    <xf numFmtId="0" fontId="25" fillId="13" borderId="9" xfId="2" applyFont="1" applyFill="1" applyBorder="1" applyAlignment="1" applyProtection="1">
      <alignment vertical="center"/>
      <protection hidden="1"/>
    </xf>
    <xf numFmtId="0" fontId="25" fillId="13" borderId="0" xfId="2" applyFont="1" applyFill="1" applyAlignment="1" applyProtection="1">
      <alignment vertical="center"/>
      <protection hidden="1"/>
    </xf>
    <xf numFmtId="0" fontId="25" fillId="13" borderId="10" xfId="2" applyFont="1" applyFill="1" applyBorder="1" applyAlignment="1" applyProtection="1">
      <alignment vertical="center"/>
      <protection hidden="1"/>
    </xf>
    <xf numFmtId="165" fontId="11" fillId="4" borderId="33" xfId="1" applyNumberFormat="1" applyFont="1" applyFill="1" applyBorder="1" applyAlignment="1" applyProtection="1">
      <alignment vertical="center"/>
      <protection hidden="1"/>
    </xf>
    <xf numFmtId="165" fontId="11" fillId="4" borderId="52" xfId="1" applyNumberFormat="1" applyFont="1" applyFill="1" applyBorder="1" applyAlignment="1" applyProtection="1">
      <alignment vertical="center"/>
      <protection hidden="1"/>
    </xf>
    <xf numFmtId="165" fontId="11" fillId="4" borderId="53" xfId="1" applyNumberFormat="1" applyFont="1" applyFill="1" applyBorder="1" applyAlignment="1" applyProtection="1">
      <alignment vertical="center"/>
      <protection hidden="1"/>
    </xf>
    <xf numFmtId="166" fontId="81" fillId="0" borderId="20" xfId="0" applyNumberFormat="1" applyFont="1" applyBorder="1" applyAlignment="1" applyProtection="1">
      <alignment vertical="center" wrapText="1"/>
      <protection hidden="1"/>
    </xf>
    <xf numFmtId="166" fontId="81" fillId="0" borderId="14" xfId="0" applyNumberFormat="1" applyFont="1" applyBorder="1" applyAlignment="1" applyProtection="1">
      <alignment vertical="center"/>
      <protection hidden="1"/>
    </xf>
    <xf numFmtId="166" fontId="81" fillId="0" borderId="13" xfId="0" applyNumberFormat="1" applyFont="1" applyBorder="1" applyAlignment="1" applyProtection="1">
      <alignment vertical="center"/>
      <protection hidden="1"/>
    </xf>
    <xf numFmtId="166" fontId="82" fillId="0" borderId="13" xfId="0" applyNumberFormat="1" applyFont="1" applyBorder="1" applyAlignment="1" applyProtection="1">
      <alignment vertical="center"/>
      <protection hidden="1"/>
    </xf>
    <xf numFmtId="166" fontId="82" fillId="0" borderId="20" xfId="0" applyNumberFormat="1" applyFont="1" applyBorder="1" applyAlignment="1" applyProtection="1">
      <alignment vertical="center" wrapText="1"/>
      <protection hidden="1"/>
    </xf>
    <xf numFmtId="166" fontId="82" fillId="0" borderId="14" xfId="0" applyNumberFormat="1" applyFont="1" applyBorder="1" applyAlignment="1" applyProtection="1">
      <alignment vertical="center"/>
      <protection hidden="1"/>
    </xf>
    <xf numFmtId="174" fontId="27" fillId="11" borderId="56" xfId="0" applyNumberFormat="1" applyFont="1" applyFill="1" applyBorder="1" applyAlignment="1" applyProtection="1">
      <alignment horizontal="center" vertical="center"/>
      <protection locked="0"/>
    </xf>
    <xf numFmtId="169" fontId="27" fillId="11" borderId="60" xfId="0" applyNumberFormat="1" applyFont="1" applyFill="1" applyBorder="1" applyAlignment="1" applyProtection="1">
      <alignment horizontal="center" vertical="center"/>
      <protection locked="0"/>
    </xf>
    <xf numFmtId="174" fontId="27" fillId="11" borderId="56" xfId="0" applyNumberFormat="1" applyFont="1" applyFill="1" applyBorder="1" applyAlignment="1" applyProtection="1">
      <alignment horizontal="center" vertical="center"/>
      <protection hidden="1"/>
    </xf>
    <xf numFmtId="169" fontId="27" fillId="11" borderId="56" xfId="0" applyNumberFormat="1" applyFont="1" applyFill="1" applyBorder="1" applyAlignment="1" applyProtection="1">
      <alignment horizontal="center" vertical="center"/>
      <protection hidden="1"/>
    </xf>
    <xf numFmtId="0" fontId="74" fillId="0" borderId="79" xfId="0" applyFont="1" applyBorder="1" applyAlignment="1">
      <alignment horizontal="left" vertical="top" wrapText="1"/>
    </xf>
    <xf numFmtId="0" fontId="0" fillId="0" borderId="0" xfId="0" applyAlignment="1">
      <alignment horizontal="left" wrapText="1"/>
    </xf>
    <xf numFmtId="0" fontId="76" fillId="0" borderId="79" xfId="0" applyFont="1" applyBorder="1" applyAlignment="1">
      <alignment horizontal="center" vertical="top" wrapText="1"/>
    </xf>
    <xf numFmtId="0" fontId="76" fillId="0" borderId="79" xfId="0" applyFont="1" applyBorder="1" applyAlignment="1">
      <alignment horizontal="left" vertical="top" wrapText="1" indent="2"/>
    </xf>
    <xf numFmtId="0" fontId="76" fillId="0" borderId="79" xfId="0" applyFont="1" applyBorder="1" applyAlignment="1">
      <alignment horizontal="left" vertical="top" wrapText="1" indent="4"/>
    </xf>
    <xf numFmtId="0" fontId="25" fillId="18" borderId="0" xfId="0" applyFont="1" applyFill="1" applyProtection="1">
      <protection hidden="1"/>
    </xf>
    <xf numFmtId="169" fontId="47" fillId="36" borderId="55" xfId="0" applyNumberFormat="1" applyFont="1" applyFill="1" applyBorder="1" applyAlignment="1">
      <alignment horizontal="center"/>
    </xf>
    <xf numFmtId="169" fontId="47" fillId="18" borderId="55" xfId="0" applyNumberFormat="1" applyFont="1" applyFill="1" applyBorder="1" applyAlignment="1">
      <alignment horizontal="center"/>
    </xf>
    <xf numFmtId="0" fontId="0" fillId="18" borderId="55" xfId="0" applyFill="1" applyBorder="1" applyAlignment="1" applyProtection="1">
      <alignment horizontal="center"/>
      <protection hidden="1"/>
    </xf>
    <xf numFmtId="169" fontId="47" fillId="36" borderId="60" xfId="0" applyNumberFormat="1" applyFont="1" applyFill="1" applyBorder="1" applyAlignment="1">
      <alignment horizontal="center"/>
    </xf>
    <xf numFmtId="0" fontId="85" fillId="0" borderId="0" xfId="0" applyFont="1" applyProtection="1">
      <protection hidden="1"/>
    </xf>
    <xf numFmtId="0" fontId="45" fillId="0" borderId="0" xfId="0" applyFont="1" applyAlignment="1" applyProtection="1">
      <alignment horizontal="center"/>
      <protection hidden="1"/>
    </xf>
    <xf numFmtId="0" fontId="47" fillId="0" borderId="0" xfId="0" applyFont="1" applyAlignment="1" applyProtection="1">
      <alignment horizontal="center"/>
      <protection hidden="1"/>
    </xf>
    <xf numFmtId="0" fontId="0" fillId="0" borderId="0" xfId="0" applyAlignment="1">
      <alignment horizontal="center"/>
    </xf>
    <xf numFmtId="172" fontId="0" fillId="0" borderId="0" xfId="0" applyNumberFormat="1" applyAlignment="1" applyProtection="1">
      <alignment horizontal="center"/>
      <protection hidden="1"/>
    </xf>
    <xf numFmtId="0" fontId="52" fillId="0" borderId="79" xfId="0" applyFont="1" applyBorder="1" applyAlignment="1">
      <alignment horizontal="left" wrapText="1"/>
    </xf>
    <xf numFmtId="0" fontId="52" fillId="0" borderId="79" xfId="0" applyFont="1" applyBorder="1" applyAlignment="1">
      <alignment horizontal="left" vertical="top" wrapText="1" indent="1"/>
    </xf>
    <xf numFmtId="0" fontId="52" fillId="0" borderId="79" xfId="0" applyFont="1" applyBorder="1" applyAlignment="1">
      <alignment horizontal="left" vertical="top" wrapText="1"/>
    </xf>
    <xf numFmtId="0" fontId="1" fillId="0" borderId="0" xfId="0" applyFont="1"/>
    <xf numFmtId="0" fontId="90" fillId="0" borderId="0" xfId="0" applyFont="1" applyAlignment="1">
      <alignment vertical="center" wrapText="1"/>
    </xf>
    <xf numFmtId="165" fontId="49" fillId="18" borderId="14" xfId="1" applyNumberFormat="1" applyFont="1" applyFill="1" applyBorder="1" applyAlignment="1" applyProtection="1">
      <alignment horizontal="center" vertical="center"/>
      <protection hidden="1"/>
    </xf>
    <xf numFmtId="169" fontId="49" fillId="18" borderId="14" xfId="0" quotePrefix="1" applyNumberFormat="1" applyFont="1" applyFill="1" applyBorder="1" applyAlignment="1" applyProtection="1">
      <alignment horizontal="center" vertical="top"/>
      <protection hidden="1"/>
    </xf>
    <xf numFmtId="165" fontId="49" fillId="0" borderId="14" xfId="1" applyNumberFormat="1" applyFont="1" applyBorder="1" applyAlignment="1" applyProtection="1">
      <alignment horizontal="center" vertical="center"/>
      <protection hidden="1"/>
    </xf>
    <xf numFmtId="0" fontId="47" fillId="0" borderId="58" xfId="0" quotePrefix="1" applyFont="1" applyBorder="1" applyAlignment="1" applyProtection="1">
      <alignment vertical="center"/>
      <protection hidden="1"/>
    </xf>
    <xf numFmtId="0" fontId="47" fillId="0" borderId="59" xfId="0" quotePrefix="1" applyFont="1" applyBorder="1" applyAlignment="1" applyProtection="1">
      <alignment vertical="center"/>
      <protection hidden="1"/>
    </xf>
    <xf numFmtId="165" fontId="49" fillId="0" borderId="39" xfId="1" applyNumberFormat="1" applyFont="1" applyBorder="1" applyAlignment="1" applyProtection="1">
      <alignment horizontal="center" vertical="center"/>
      <protection hidden="1"/>
    </xf>
    <xf numFmtId="0" fontId="87" fillId="0" borderId="0" xfId="0" applyFont="1" applyAlignment="1" applyProtection="1">
      <alignment horizontal="center"/>
      <protection hidden="1"/>
    </xf>
    <xf numFmtId="0" fontId="87" fillId="10" borderId="88" xfId="0" applyFont="1" applyFill="1" applyBorder="1" applyAlignment="1" applyProtection="1">
      <alignment horizontal="center" vertical="center"/>
      <protection hidden="1"/>
    </xf>
    <xf numFmtId="165" fontId="19" fillId="0" borderId="27" xfId="1" applyNumberFormat="1" applyFont="1" applyBorder="1" applyAlignment="1" applyProtection="1">
      <alignment horizontal="center" vertical="center"/>
      <protection hidden="1"/>
    </xf>
    <xf numFmtId="166" fontId="95" fillId="35" borderId="14" xfId="0" applyNumberFormat="1" applyFont="1" applyFill="1" applyBorder="1" applyAlignment="1" applyProtection="1">
      <alignment horizontal="center" vertical="center"/>
      <protection hidden="1"/>
    </xf>
    <xf numFmtId="22" fontId="96" fillId="0" borderId="0" xfId="0" applyNumberFormat="1" applyFont="1" applyAlignment="1" applyProtection="1">
      <alignment horizontal="center"/>
      <protection hidden="1"/>
    </xf>
    <xf numFmtId="22" fontId="97" fillId="0" borderId="0" xfId="0" applyNumberFormat="1" applyFont="1" applyAlignment="1" applyProtection="1">
      <alignment horizontal="center"/>
      <protection hidden="1"/>
    </xf>
    <xf numFmtId="0" fontId="17" fillId="5" borderId="9" xfId="2" applyFont="1" applyFill="1" applyBorder="1" applyAlignment="1" applyProtection="1">
      <alignment horizontal="center"/>
      <protection hidden="1"/>
    </xf>
    <xf numFmtId="0" fontId="17" fillId="5" borderId="10" xfId="2" applyFont="1" applyFill="1" applyBorder="1" applyAlignment="1" applyProtection="1">
      <alignment horizontal="center"/>
      <protection hidden="1"/>
    </xf>
    <xf numFmtId="165" fontId="11" fillId="2" borderId="3" xfId="1" applyNumberFormat="1" applyFont="1" applyFill="1" applyBorder="1" applyAlignment="1" applyProtection="1">
      <alignment horizontal="center" vertical="center"/>
      <protection hidden="1"/>
    </xf>
    <xf numFmtId="0" fontId="14" fillId="2" borderId="3" xfId="0" quotePrefix="1" applyFont="1" applyFill="1" applyBorder="1" applyAlignment="1" applyProtection="1">
      <alignment vertical="center" wrapText="1"/>
      <protection hidden="1"/>
    </xf>
    <xf numFmtId="0" fontId="13" fillId="2" borderId="3" xfId="2" applyFont="1" applyFill="1" applyBorder="1" applyAlignment="1" applyProtection="1">
      <alignment vertical="center"/>
      <protection hidden="1"/>
    </xf>
    <xf numFmtId="0" fontId="3" fillId="2" borderId="3" xfId="0" applyFont="1" applyFill="1" applyBorder="1" applyProtection="1">
      <protection hidden="1"/>
    </xf>
    <xf numFmtId="0" fontId="16" fillId="38" borderId="9" xfId="2" applyFont="1" applyFill="1" applyBorder="1" applyProtection="1">
      <protection hidden="1"/>
    </xf>
    <xf numFmtId="0" fontId="16" fillId="38" borderId="0" xfId="2" applyFont="1" applyFill="1" applyProtection="1">
      <protection hidden="1"/>
    </xf>
    <xf numFmtId="0" fontId="16" fillId="38" borderId="10" xfId="2" applyFont="1" applyFill="1" applyBorder="1" applyProtection="1">
      <protection hidden="1"/>
    </xf>
    <xf numFmtId="166" fontId="11" fillId="7" borderId="9" xfId="0" applyNumberFormat="1" applyFont="1" applyFill="1" applyBorder="1" applyAlignment="1" applyProtection="1">
      <alignment horizontal="center" vertical="top"/>
      <protection hidden="1"/>
    </xf>
    <xf numFmtId="166" fontId="11" fillId="7" borderId="10" xfId="0" applyNumberFormat="1" applyFont="1" applyFill="1" applyBorder="1" applyAlignment="1" applyProtection="1">
      <alignment horizontal="center" vertical="top"/>
      <protection hidden="1"/>
    </xf>
    <xf numFmtId="0" fontId="80" fillId="13" borderId="9" xfId="2" applyFont="1" applyFill="1" applyBorder="1" applyAlignment="1" applyProtection="1">
      <alignment vertical="center" wrapText="1"/>
      <protection hidden="1"/>
    </xf>
    <xf numFmtId="0" fontId="80" fillId="13" borderId="0" xfId="2" applyFont="1" applyFill="1" applyAlignment="1" applyProtection="1">
      <alignment vertical="center" wrapText="1"/>
      <protection hidden="1"/>
    </xf>
    <xf numFmtId="0" fontId="80" fillId="13" borderId="10" xfId="2" applyFont="1" applyFill="1" applyBorder="1" applyAlignment="1" applyProtection="1">
      <alignment vertical="center" wrapText="1"/>
      <protection hidden="1"/>
    </xf>
    <xf numFmtId="0" fontId="3" fillId="0" borderId="0" xfId="0" applyFont="1" applyAlignment="1" applyProtection="1">
      <alignment wrapText="1"/>
      <protection hidden="1"/>
    </xf>
    <xf numFmtId="0" fontId="44" fillId="0" borderId="0" xfId="0" applyFont="1" applyAlignment="1" applyProtection="1">
      <alignment horizontal="left"/>
      <protection hidden="1"/>
    </xf>
    <xf numFmtId="0" fontId="45" fillId="0" borderId="0" xfId="0" quotePrefix="1" applyFont="1" applyAlignment="1" applyProtection="1">
      <alignment horizontal="center"/>
      <protection hidden="1"/>
    </xf>
    <xf numFmtId="16" fontId="47" fillId="0" borderId="0" xfId="0" quotePrefix="1" applyNumberFormat="1" applyFont="1" applyAlignment="1" applyProtection="1">
      <alignment horizontal="center"/>
      <protection hidden="1"/>
    </xf>
    <xf numFmtId="0" fontId="47" fillId="0" borderId="0" xfId="0" applyFont="1" applyAlignment="1">
      <alignment horizontal="center"/>
    </xf>
    <xf numFmtId="0" fontId="47" fillId="0" borderId="0" xfId="0" quotePrefix="1" applyFont="1" applyAlignment="1" applyProtection="1">
      <alignment horizontal="center"/>
      <protection hidden="1"/>
    </xf>
    <xf numFmtId="0" fontId="102" fillId="0" borderId="0" xfId="0" applyFont="1" applyAlignment="1" applyProtection="1">
      <alignment horizontal="left"/>
      <protection hidden="1"/>
    </xf>
    <xf numFmtId="0" fontId="101" fillId="13" borderId="29" xfId="0" applyFont="1" applyFill="1" applyBorder="1" applyAlignment="1" applyProtection="1">
      <alignment horizontal="center"/>
      <protection hidden="1"/>
    </xf>
    <xf numFmtId="169" fontId="103" fillId="18" borderId="40" xfId="0" applyNumberFormat="1" applyFont="1" applyFill="1" applyBorder="1" applyAlignment="1">
      <alignment horizontal="center"/>
    </xf>
    <xf numFmtId="166" fontId="81" fillId="0" borderId="13" xfId="0" applyNumberFormat="1" applyFont="1" applyBorder="1" applyAlignment="1" applyProtection="1">
      <alignment horizontal="center" vertical="center"/>
      <protection hidden="1"/>
    </xf>
    <xf numFmtId="0" fontId="5" fillId="0" borderId="0" xfId="2" applyFont="1" applyAlignment="1" applyProtection="1">
      <alignment horizontal="right" vertical="center"/>
      <protection hidden="1"/>
    </xf>
    <xf numFmtId="0" fontId="6" fillId="0" borderId="0" xfId="2" applyFont="1" applyAlignment="1" applyProtection="1">
      <alignment horizontal="right" vertical="center"/>
      <protection hidden="1"/>
    </xf>
    <xf numFmtId="166" fontId="81" fillId="0" borderId="14" xfId="0" applyNumberFormat="1" applyFont="1" applyBorder="1" applyAlignment="1" applyProtection="1">
      <alignment horizontal="center" vertical="center"/>
      <protection hidden="1"/>
    </xf>
    <xf numFmtId="0" fontId="9" fillId="0" borderId="0" xfId="0" applyFont="1" applyAlignment="1" applyProtection="1">
      <alignment horizontal="right" vertical="center"/>
      <protection hidden="1"/>
    </xf>
    <xf numFmtId="169" fontId="49" fillId="0" borderId="27" xfId="0" quotePrefix="1" applyNumberFormat="1" applyFont="1" applyBorder="1" applyAlignment="1" applyProtection="1">
      <alignment horizontal="center" vertical="top"/>
      <protection hidden="1"/>
    </xf>
    <xf numFmtId="165" fontId="49" fillId="0" borderId="27" xfId="1" applyNumberFormat="1" applyFont="1" applyFill="1" applyBorder="1" applyAlignment="1" applyProtection="1">
      <alignment horizontal="center" vertical="center"/>
      <protection hidden="1"/>
    </xf>
    <xf numFmtId="165" fontId="49" fillId="0" borderId="91" xfId="1" applyNumberFormat="1" applyFont="1" applyFill="1" applyBorder="1" applyAlignment="1" applyProtection="1">
      <alignment horizontal="center" vertical="center"/>
      <protection hidden="1"/>
    </xf>
    <xf numFmtId="169" fontId="59" fillId="23" borderId="60" xfId="0" applyNumberFormat="1" applyFont="1" applyFill="1" applyBorder="1" applyAlignment="1" applyProtection="1">
      <alignment horizontal="center"/>
      <protection hidden="1"/>
    </xf>
    <xf numFmtId="0" fontId="58" fillId="21" borderId="85" xfId="2" applyFont="1" applyFill="1" applyBorder="1" applyAlignment="1" applyProtection="1">
      <alignment horizontal="center" vertical="top"/>
      <protection hidden="1"/>
    </xf>
    <xf numFmtId="0" fontId="58" fillId="21" borderId="43" xfId="2" applyFont="1" applyFill="1" applyBorder="1" applyAlignment="1" applyProtection="1">
      <alignment horizontal="center" vertical="top"/>
      <protection hidden="1"/>
    </xf>
    <xf numFmtId="0" fontId="58" fillId="21" borderId="42" xfId="2" applyFont="1" applyFill="1" applyBorder="1" applyAlignment="1" applyProtection="1">
      <alignment horizontal="center" vertical="top"/>
      <protection hidden="1"/>
    </xf>
    <xf numFmtId="0" fontId="0" fillId="0" borderId="61" xfId="0" applyBorder="1" applyAlignment="1">
      <alignment horizontal="center"/>
    </xf>
    <xf numFmtId="0" fontId="60" fillId="0" borderId="1" xfId="0" quotePrefix="1" applyFont="1" applyBorder="1" applyAlignment="1" applyProtection="1">
      <alignment vertical="center"/>
      <protection hidden="1"/>
    </xf>
    <xf numFmtId="0" fontId="60" fillId="0" borderId="3" xfId="0" quotePrefix="1" applyFont="1" applyBorder="1" applyAlignment="1" applyProtection="1">
      <alignment vertical="center"/>
      <protection hidden="1"/>
    </xf>
    <xf numFmtId="165" fontId="57" fillId="0" borderId="3" xfId="1" applyNumberFormat="1" applyFont="1" applyBorder="1" applyAlignment="1" applyProtection="1">
      <alignment horizontal="center" vertical="center"/>
      <protection hidden="1"/>
    </xf>
    <xf numFmtId="0" fontId="60" fillId="0" borderId="4" xfId="0" quotePrefix="1" applyFont="1" applyBorder="1" applyAlignment="1" applyProtection="1">
      <alignment vertical="center"/>
      <protection hidden="1"/>
    </xf>
    <xf numFmtId="0" fontId="60" fillId="0" borderId="32" xfId="0" quotePrefix="1" applyFont="1" applyBorder="1" applyAlignment="1" applyProtection="1">
      <alignment vertical="center"/>
      <protection hidden="1"/>
    </xf>
    <xf numFmtId="165" fontId="57" fillId="0" borderId="32" xfId="1" applyNumberFormat="1" applyFont="1" applyBorder="1" applyAlignment="1" applyProtection="1">
      <alignment horizontal="center" vertical="center"/>
      <protection hidden="1"/>
    </xf>
    <xf numFmtId="169" fontId="47" fillId="0" borderId="61" xfId="0" applyNumberFormat="1" applyFont="1" applyBorder="1"/>
    <xf numFmtId="169" fontId="47" fillId="0" borderId="60" xfId="0" applyNumberFormat="1" applyFont="1" applyBorder="1"/>
    <xf numFmtId="165" fontId="104" fillId="48" borderId="27" xfId="1" applyNumberFormat="1" applyFont="1" applyFill="1" applyBorder="1" applyAlignment="1" applyProtection="1">
      <alignment horizontal="center" vertical="center"/>
      <protection hidden="1"/>
    </xf>
    <xf numFmtId="165" fontId="56" fillId="0" borderId="0" xfId="1" applyNumberFormat="1" applyFont="1" applyFill="1" applyBorder="1" applyAlignment="1" applyProtection="1">
      <alignment horizontal="center" vertical="top"/>
      <protection hidden="1"/>
    </xf>
    <xf numFmtId="165" fontId="57" fillId="0" borderId="0" xfId="1" applyNumberFormat="1" applyFont="1" applyFill="1" applyBorder="1" applyAlignment="1" applyProtection="1">
      <alignment horizontal="center" vertical="top"/>
      <protection hidden="1"/>
    </xf>
    <xf numFmtId="165" fontId="56" fillId="0" borderId="92" xfId="1" applyNumberFormat="1" applyFont="1" applyBorder="1" applyAlignment="1" applyProtection="1">
      <alignment horizontal="center" vertical="top"/>
      <protection hidden="1"/>
    </xf>
    <xf numFmtId="165" fontId="57" fillId="0" borderId="93" xfId="1" applyNumberFormat="1" applyFont="1" applyBorder="1" applyAlignment="1" applyProtection="1">
      <alignment horizontal="center" vertical="top"/>
      <protection hidden="1"/>
    </xf>
    <xf numFmtId="0" fontId="54" fillId="0" borderId="0" xfId="2" applyFont="1" applyProtection="1">
      <protection hidden="1"/>
    </xf>
    <xf numFmtId="165" fontId="56" fillId="0" borderId="0" xfId="1" applyNumberFormat="1" applyFont="1" applyBorder="1" applyAlignment="1" applyProtection="1">
      <alignment horizontal="center" vertical="top"/>
      <protection hidden="1"/>
    </xf>
    <xf numFmtId="165" fontId="57" fillId="0" borderId="0" xfId="1" applyNumberFormat="1" applyFont="1" applyBorder="1" applyAlignment="1" applyProtection="1">
      <alignment horizontal="center" vertical="top"/>
      <protection hidden="1"/>
    </xf>
    <xf numFmtId="0" fontId="55" fillId="0" borderId="0" xfId="0" applyFont="1" applyAlignment="1" applyProtection="1">
      <alignment horizontal="center" vertical="center"/>
      <protection hidden="1"/>
    </xf>
    <xf numFmtId="0" fontId="55" fillId="13" borderId="84" xfId="0" applyFont="1" applyFill="1" applyBorder="1" applyAlignment="1" applyProtection="1">
      <alignment horizontal="center" vertical="center"/>
      <protection hidden="1"/>
    </xf>
    <xf numFmtId="169" fontId="57" fillId="0" borderId="0" xfId="1" applyNumberFormat="1" applyFont="1" applyFill="1" applyBorder="1" applyAlignment="1" applyProtection="1">
      <alignment horizontal="center" vertical="top"/>
      <protection hidden="1"/>
    </xf>
    <xf numFmtId="0" fontId="58" fillId="21" borderId="85" xfId="2" applyFont="1" applyFill="1" applyBorder="1" applyAlignment="1" applyProtection="1">
      <alignment horizontal="center" vertical="center"/>
      <protection hidden="1"/>
    </xf>
    <xf numFmtId="0" fontId="44" fillId="0" borderId="0" xfId="0" applyFont="1"/>
    <xf numFmtId="0" fontId="47" fillId="18" borderId="20" xfId="0" applyFont="1" applyFill="1" applyBorder="1" applyAlignment="1" applyProtection="1">
      <alignment horizontal="center"/>
      <protection hidden="1"/>
    </xf>
    <xf numFmtId="0" fontId="0" fillId="18" borderId="20" xfId="0" applyFill="1" applyBorder="1" applyAlignment="1" applyProtection="1">
      <alignment horizontal="center"/>
      <protection hidden="1"/>
    </xf>
    <xf numFmtId="0" fontId="0" fillId="18" borderId="0" xfId="0" applyFill="1" applyAlignment="1" applyProtection="1">
      <alignment horizontal="center"/>
      <protection hidden="1"/>
    </xf>
    <xf numFmtId="0" fontId="53" fillId="19" borderId="15" xfId="0" applyFont="1" applyFill="1" applyBorder="1" applyAlignment="1" applyProtection="1">
      <alignment horizontal="center"/>
      <protection hidden="1"/>
    </xf>
    <xf numFmtId="0" fontId="55" fillId="13" borderId="4" xfId="0" applyFont="1" applyFill="1" applyBorder="1" applyAlignment="1" applyProtection="1">
      <alignment horizontal="center" vertical="center"/>
      <protection hidden="1"/>
    </xf>
    <xf numFmtId="0" fontId="55" fillId="13" borderId="32" xfId="0" applyFont="1" applyFill="1" applyBorder="1" applyAlignment="1" applyProtection="1">
      <alignment horizontal="center" vertical="center"/>
      <protection hidden="1"/>
    </xf>
    <xf numFmtId="0" fontId="55" fillId="13" borderId="5" xfId="0" applyFont="1" applyFill="1" applyBorder="1" applyAlignment="1" applyProtection="1">
      <alignment horizontal="center" vertical="center"/>
      <protection hidden="1"/>
    </xf>
    <xf numFmtId="169" fontId="47" fillId="48" borderId="55" xfId="0" applyNumberFormat="1" applyFont="1" applyFill="1" applyBorder="1" applyAlignment="1">
      <alignment horizontal="center"/>
    </xf>
    <xf numFmtId="169" fontId="47" fillId="0" borderId="55" xfId="0" applyNumberFormat="1" applyFont="1" applyBorder="1" applyAlignment="1">
      <alignment horizontal="center"/>
    </xf>
    <xf numFmtId="0" fontId="0" fillId="0" borderId="55" xfId="0" applyBorder="1" applyAlignment="1" applyProtection="1">
      <alignment horizontal="center"/>
      <protection hidden="1"/>
    </xf>
    <xf numFmtId="169" fontId="47" fillId="0" borderId="60" xfId="0" applyNumberFormat="1" applyFont="1" applyBorder="1" applyAlignment="1">
      <alignment horizontal="center"/>
    </xf>
    <xf numFmtId="0" fontId="43" fillId="40" borderId="0" xfId="0" applyFont="1" applyFill="1" applyAlignment="1" applyProtection="1">
      <alignment horizontal="center"/>
      <protection hidden="1"/>
    </xf>
    <xf numFmtId="1" fontId="0" fillId="0" borderId="0" xfId="0" applyNumberFormat="1" applyAlignment="1" applyProtection="1">
      <alignment horizontal="center"/>
      <protection hidden="1"/>
    </xf>
    <xf numFmtId="0" fontId="57" fillId="0" borderId="0" xfId="1" applyNumberFormat="1" applyFont="1" applyBorder="1" applyAlignment="1" applyProtection="1">
      <alignment horizontal="center" vertical="center"/>
      <protection hidden="1"/>
    </xf>
    <xf numFmtId="0" fontId="105" fillId="0" borderId="1" xfId="1" applyNumberFormat="1" applyFont="1" applyBorder="1" applyAlignment="1" applyProtection="1">
      <alignment horizontal="center" vertical="center"/>
      <protection hidden="1"/>
    </xf>
    <xf numFmtId="169" fontId="105" fillId="0" borderId="9" xfId="1" applyNumberFormat="1" applyFont="1" applyBorder="1" applyAlignment="1" applyProtection="1">
      <alignment horizontal="center" vertical="center"/>
      <protection hidden="1"/>
    </xf>
    <xf numFmtId="169" fontId="105" fillId="0" borderId="9" xfId="0" applyNumberFormat="1" applyFont="1" applyBorder="1" applyAlignment="1" applyProtection="1">
      <alignment horizontal="center" vertical="center"/>
      <protection hidden="1"/>
    </xf>
    <xf numFmtId="169" fontId="105" fillId="0" borderId="4" xfId="0" applyNumberFormat="1" applyFont="1" applyBorder="1" applyAlignment="1" applyProtection="1">
      <alignment horizontal="center" vertical="center"/>
      <protection hidden="1"/>
    </xf>
    <xf numFmtId="165" fontId="57" fillId="0" borderId="39" xfId="1" applyNumberFormat="1" applyFont="1" applyBorder="1" applyAlignment="1" applyProtection="1">
      <alignment horizontal="center" vertical="center"/>
      <protection hidden="1"/>
    </xf>
    <xf numFmtId="0" fontId="103" fillId="0" borderId="7" xfId="0" applyFont="1" applyBorder="1" applyProtection="1">
      <protection hidden="1"/>
    </xf>
    <xf numFmtId="0" fontId="106" fillId="0" borderId="7" xfId="0" applyFont="1" applyBorder="1" applyProtection="1">
      <protection hidden="1"/>
    </xf>
    <xf numFmtId="0" fontId="46" fillId="0" borderId="7" xfId="0" applyFont="1" applyBorder="1" applyProtection="1">
      <protection hidden="1"/>
    </xf>
    <xf numFmtId="0" fontId="44" fillId="0" borderId="7" xfId="0" applyFont="1" applyBorder="1" applyProtection="1">
      <protection hidden="1"/>
    </xf>
    <xf numFmtId="0" fontId="0" fillId="0" borderId="7" xfId="0" applyBorder="1" applyProtection="1">
      <protection hidden="1"/>
    </xf>
    <xf numFmtId="0" fontId="44" fillId="0" borderId="7" xfId="0" applyFont="1" applyBorder="1"/>
    <xf numFmtId="0" fontId="0" fillId="0" borderId="7" xfId="0" applyBorder="1"/>
    <xf numFmtId="0" fontId="48" fillId="0" borderId="0" xfId="0" applyFont="1" applyProtection="1">
      <protection hidden="1"/>
    </xf>
    <xf numFmtId="0" fontId="44" fillId="36" borderId="7" xfId="0" applyFont="1" applyFill="1" applyBorder="1"/>
    <xf numFmtId="0" fontId="0" fillId="36" borderId="7" xfId="0" applyFill="1" applyBorder="1"/>
    <xf numFmtId="0" fontId="0" fillId="0" borderId="32" xfId="0" applyBorder="1"/>
    <xf numFmtId="0" fontId="45" fillId="0" borderId="32" xfId="0" applyFont="1" applyBorder="1" applyAlignment="1" applyProtection="1">
      <alignment horizontal="left"/>
      <protection hidden="1"/>
    </xf>
    <xf numFmtId="0" fontId="44" fillId="0" borderId="32" xfId="0" applyFont="1" applyBorder="1" applyProtection="1">
      <protection hidden="1"/>
    </xf>
    <xf numFmtId="0" fontId="0" fillId="0" borderId="32" xfId="0" applyBorder="1" applyProtection="1">
      <protection hidden="1"/>
    </xf>
    <xf numFmtId="0" fontId="46" fillId="0" borderId="32" xfId="0" applyFont="1" applyBorder="1" applyProtection="1">
      <protection hidden="1"/>
    </xf>
    <xf numFmtId="0" fontId="47" fillId="0" borderId="20" xfId="0" applyFont="1" applyBorder="1" applyAlignment="1" applyProtection="1">
      <alignment horizontal="center"/>
      <protection hidden="1"/>
    </xf>
    <xf numFmtId="166" fontId="25" fillId="23" borderId="20" xfId="0" applyNumberFormat="1" applyFont="1" applyFill="1" applyBorder="1" applyAlignment="1" applyProtection="1">
      <alignment horizontal="center" vertical="top"/>
      <protection hidden="1"/>
    </xf>
    <xf numFmtId="0" fontId="0" fillId="23" borderId="0" xfId="0" applyFill="1"/>
    <xf numFmtId="166" fontId="25" fillId="23" borderId="14" xfId="0" applyNumberFormat="1" applyFont="1" applyFill="1" applyBorder="1" applyAlignment="1" applyProtection="1">
      <alignment horizontal="center" vertical="top"/>
      <protection hidden="1"/>
    </xf>
    <xf numFmtId="0" fontId="44" fillId="0" borderId="0" xfId="0" quotePrefix="1" applyFont="1"/>
    <xf numFmtId="0" fontId="0" fillId="17" borderId="0" xfId="0" applyFill="1"/>
    <xf numFmtId="166" fontId="107" fillId="13" borderId="0" xfId="0" applyNumberFormat="1" applyFont="1" applyFill="1" applyAlignment="1" applyProtection="1">
      <alignment horizontal="center" vertical="top"/>
      <protection hidden="1"/>
    </xf>
    <xf numFmtId="0" fontId="108" fillId="13" borderId="0" xfId="0" applyFont="1" applyFill="1"/>
    <xf numFmtId="169" fontId="28" fillId="12" borderId="64" xfId="0" applyNumberFormat="1" applyFont="1" applyFill="1" applyBorder="1" applyAlignment="1" applyProtection="1">
      <alignment horizontal="center" vertical="center"/>
      <protection hidden="1"/>
    </xf>
    <xf numFmtId="169" fontId="28" fillId="12" borderId="66" xfId="0" applyNumberFormat="1" applyFont="1" applyFill="1" applyBorder="1" applyAlignment="1" applyProtection="1">
      <alignment horizontal="center" vertical="center"/>
      <protection hidden="1"/>
    </xf>
    <xf numFmtId="0" fontId="12" fillId="37" borderId="9" xfId="2" applyFont="1" applyFill="1" applyBorder="1" applyAlignment="1" applyProtection="1">
      <alignment horizontal="center" vertical="center"/>
      <protection hidden="1"/>
    </xf>
    <xf numFmtId="0" fontId="12" fillId="37" borderId="0" xfId="2" applyFont="1" applyFill="1" applyAlignment="1" applyProtection="1">
      <alignment horizontal="center" vertical="center"/>
      <protection hidden="1"/>
    </xf>
    <xf numFmtId="165" fontId="11" fillId="34" borderId="9" xfId="1" applyNumberFormat="1" applyFont="1" applyFill="1" applyBorder="1" applyAlignment="1" applyProtection="1">
      <alignment horizontal="center" vertical="center"/>
      <protection hidden="1"/>
    </xf>
    <xf numFmtId="165" fontId="11" fillId="34" borderId="0" xfId="1" applyNumberFormat="1" applyFont="1" applyFill="1" applyBorder="1" applyAlignment="1" applyProtection="1">
      <alignment horizontal="center" vertical="center"/>
      <protection hidden="1"/>
    </xf>
    <xf numFmtId="0" fontId="16" fillId="38" borderId="9" xfId="2" applyFont="1" applyFill="1" applyBorder="1" applyAlignment="1" applyProtection="1">
      <alignment horizontal="center" vertical="center"/>
      <protection hidden="1"/>
    </xf>
    <xf numFmtId="0" fontId="16" fillId="38" borderId="0" xfId="2" applyFont="1" applyFill="1" applyAlignment="1" applyProtection="1">
      <alignment horizontal="center" vertical="center"/>
      <protection hidden="1"/>
    </xf>
    <xf numFmtId="0" fontId="25" fillId="10" borderId="13" xfId="0" applyFont="1" applyFill="1" applyBorder="1" applyAlignment="1" applyProtection="1">
      <alignment horizontal="center" vertical="center"/>
      <protection hidden="1"/>
    </xf>
    <xf numFmtId="0" fontId="25" fillId="10" borderId="20" xfId="0" applyFont="1" applyFill="1" applyBorder="1" applyAlignment="1" applyProtection="1">
      <alignment horizontal="center" vertical="center"/>
      <protection hidden="1"/>
    </xf>
    <xf numFmtId="166" fontId="19" fillId="7" borderId="17" xfId="0" applyNumberFormat="1" applyFont="1" applyFill="1" applyBorder="1" applyAlignment="1" applyProtection="1">
      <alignment horizontal="center" vertical="top"/>
      <protection hidden="1"/>
    </xf>
    <xf numFmtId="166" fontId="19" fillId="7" borderId="18" xfId="0" applyNumberFormat="1" applyFont="1" applyFill="1" applyBorder="1" applyAlignment="1" applyProtection="1">
      <alignment horizontal="center" vertical="top"/>
      <protection hidden="1"/>
    </xf>
    <xf numFmtId="166" fontId="11" fillId="7" borderId="17" xfId="0" applyNumberFormat="1" applyFont="1" applyFill="1" applyBorder="1" applyAlignment="1" applyProtection="1">
      <alignment horizontal="center" vertical="top"/>
      <protection hidden="1"/>
    </xf>
    <xf numFmtId="166" fontId="11" fillId="7" borderId="18" xfId="0" applyNumberFormat="1" applyFont="1" applyFill="1" applyBorder="1" applyAlignment="1" applyProtection="1">
      <alignment horizontal="center" vertical="top"/>
      <protection hidden="1"/>
    </xf>
    <xf numFmtId="0" fontId="25" fillId="10" borderId="17" xfId="0" applyFont="1" applyFill="1" applyBorder="1" applyAlignment="1" applyProtection="1">
      <alignment horizontal="center" vertical="center"/>
      <protection hidden="1"/>
    </xf>
    <xf numFmtId="0" fontId="25" fillId="10" borderId="18" xfId="0" applyFont="1" applyFill="1" applyBorder="1" applyAlignment="1" applyProtection="1">
      <alignment horizontal="center" vertical="center"/>
      <protection hidden="1"/>
    </xf>
    <xf numFmtId="167" fontId="27" fillId="11" borderId="64" xfId="0" applyNumberFormat="1" applyFont="1" applyFill="1" applyBorder="1" applyAlignment="1" applyProtection="1">
      <alignment horizontal="center" vertical="center"/>
      <protection hidden="1"/>
    </xf>
    <xf numFmtId="167" fontId="27" fillId="11" borderId="66" xfId="0" applyNumberFormat="1" applyFont="1" applyFill="1" applyBorder="1" applyAlignment="1" applyProtection="1">
      <alignment horizontal="center" vertical="center"/>
      <protection hidden="1"/>
    </xf>
    <xf numFmtId="165" fontId="11" fillId="4" borderId="6" xfId="1" applyNumberFormat="1" applyFont="1" applyFill="1" applyBorder="1" applyAlignment="1" applyProtection="1">
      <alignment horizontal="center" vertical="center"/>
      <protection hidden="1"/>
    </xf>
    <xf numFmtId="165" fontId="11" fillId="4" borderId="7" xfId="1" applyNumberFormat="1" applyFont="1" applyFill="1" applyBorder="1" applyAlignment="1" applyProtection="1">
      <alignment horizontal="center" vertical="center"/>
      <protection hidden="1"/>
    </xf>
    <xf numFmtId="165" fontId="11" fillId="4" borderId="8" xfId="1" applyNumberFormat="1" applyFont="1" applyFill="1" applyBorder="1" applyAlignment="1" applyProtection="1">
      <alignment horizontal="center" vertical="center"/>
      <protection hidden="1"/>
    </xf>
    <xf numFmtId="6" fontId="25" fillId="10" borderId="17" xfId="0" applyNumberFormat="1" applyFont="1" applyFill="1" applyBorder="1" applyAlignment="1" applyProtection="1">
      <alignment horizontal="center" vertical="center"/>
      <protection hidden="1"/>
    </xf>
    <xf numFmtId="6" fontId="25" fillId="10" borderId="18" xfId="0" applyNumberFormat="1" applyFont="1" applyFill="1" applyBorder="1" applyAlignment="1" applyProtection="1">
      <alignment horizontal="center" vertical="center"/>
      <protection hidden="1"/>
    </xf>
    <xf numFmtId="0" fontId="22" fillId="15" borderId="17" xfId="0" applyFont="1" applyFill="1" applyBorder="1" applyAlignment="1" applyProtection="1">
      <alignment horizontal="center" vertical="center"/>
      <protection hidden="1"/>
    </xf>
    <xf numFmtId="0" fontId="22" fillId="15" borderId="18" xfId="0" applyFont="1" applyFill="1" applyBorder="1" applyAlignment="1" applyProtection="1">
      <alignment horizontal="center" vertical="center"/>
      <protection hidden="1"/>
    </xf>
    <xf numFmtId="165" fontId="11" fillId="4" borderId="17" xfId="1" applyNumberFormat="1" applyFont="1" applyFill="1" applyBorder="1" applyAlignment="1" applyProtection="1">
      <alignment horizontal="center" vertical="center"/>
      <protection hidden="1"/>
    </xf>
    <xf numFmtId="165" fontId="11" fillId="4" borderId="22" xfId="1" applyNumberFormat="1" applyFont="1" applyFill="1" applyBorder="1" applyAlignment="1" applyProtection="1">
      <alignment horizontal="center" vertical="center"/>
      <protection hidden="1"/>
    </xf>
    <xf numFmtId="165" fontId="11" fillId="4" borderId="25" xfId="1" applyNumberFormat="1" applyFont="1" applyFill="1" applyBorder="1" applyAlignment="1" applyProtection="1">
      <alignment horizontal="center" vertical="center"/>
      <protection hidden="1"/>
    </xf>
    <xf numFmtId="165" fontId="11" fillId="4" borderId="58" xfId="1" applyNumberFormat="1" applyFont="1" applyFill="1" applyBorder="1" applyAlignment="1" applyProtection="1">
      <alignment horizontal="center" vertical="center"/>
      <protection hidden="1"/>
    </xf>
    <xf numFmtId="165" fontId="11" fillId="4" borderId="63" xfId="1" applyNumberFormat="1" applyFont="1" applyFill="1" applyBorder="1" applyAlignment="1" applyProtection="1">
      <alignment horizontal="center" vertical="center"/>
      <protection hidden="1"/>
    </xf>
    <xf numFmtId="0" fontId="22" fillId="15" borderId="58" xfId="0" applyFont="1" applyFill="1" applyBorder="1" applyAlignment="1" applyProtection="1">
      <alignment horizontal="center" vertical="center"/>
      <protection hidden="1"/>
    </xf>
    <xf numFmtId="0" fontId="22" fillId="15" borderId="59" xfId="0" applyFont="1" applyFill="1" applyBorder="1" applyAlignment="1" applyProtection="1">
      <alignment horizontal="center" vertical="center"/>
      <protection hidden="1"/>
    </xf>
    <xf numFmtId="165" fontId="11" fillId="4" borderId="33" xfId="1" applyNumberFormat="1" applyFont="1" applyFill="1" applyBorder="1" applyAlignment="1" applyProtection="1">
      <alignment horizontal="center" vertical="center"/>
      <protection hidden="1"/>
    </xf>
    <xf numFmtId="165" fontId="11" fillId="4" borderId="52" xfId="1" applyNumberFormat="1" applyFont="1" applyFill="1" applyBorder="1" applyAlignment="1" applyProtection="1">
      <alignment horizontal="center" vertical="center"/>
      <protection hidden="1"/>
    </xf>
    <xf numFmtId="165" fontId="11" fillId="4" borderId="53" xfId="1" applyNumberFormat="1" applyFont="1" applyFill="1" applyBorder="1" applyAlignment="1" applyProtection="1">
      <alignment horizontal="center" vertical="center"/>
      <protection hidden="1"/>
    </xf>
    <xf numFmtId="0" fontId="22" fillId="15" borderId="33" xfId="0" applyFont="1" applyFill="1" applyBorder="1" applyAlignment="1" applyProtection="1">
      <alignment horizontal="center" vertical="center"/>
      <protection hidden="1"/>
    </xf>
    <xf numFmtId="0" fontId="22" fillId="15" borderId="34" xfId="0" applyFont="1" applyFill="1" applyBorder="1" applyAlignment="1" applyProtection="1">
      <alignment horizontal="center" vertical="center"/>
      <protection hidden="1"/>
    </xf>
    <xf numFmtId="0" fontId="5" fillId="0" borderId="0" xfId="2" applyFont="1" applyAlignment="1" applyProtection="1">
      <alignment horizontal="right" vertical="center"/>
      <protection hidden="1"/>
    </xf>
    <xf numFmtId="0" fontId="5" fillId="0" borderId="0" xfId="2" applyFont="1" applyAlignment="1" applyProtection="1">
      <alignment horizontal="center" vertical="center"/>
      <protection hidden="1"/>
    </xf>
    <xf numFmtId="0" fontId="6" fillId="0" borderId="0" xfId="2" applyFont="1" applyAlignment="1" applyProtection="1">
      <alignment horizontal="right" vertical="center"/>
      <protection hidden="1"/>
    </xf>
    <xf numFmtId="0" fontId="6" fillId="0" borderId="0" xfId="2" applyFont="1" applyAlignment="1" applyProtection="1">
      <alignment horizontal="center" vertical="center"/>
      <protection hidden="1"/>
    </xf>
    <xf numFmtId="165" fontId="11" fillId="34" borderId="6" xfId="1" applyNumberFormat="1" applyFont="1" applyFill="1" applyBorder="1" applyAlignment="1" applyProtection="1">
      <alignment horizontal="center" vertical="center"/>
      <protection hidden="1"/>
    </xf>
    <xf numFmtId="165" fontId="11" fillId="34" borderId="7" xfId="1" applyNumberFormat="1" applyFont="1" applyFill="1" applyBorder="1" applyAlignment="1" applyProtection="1">
      <alignment horizontal="center" vertical="center"/>
      <protection hidden="1"/>
    </xf>
    <xf numFmtId="165" fontId="11" fillId="34" borderId="8" xfId="1" applyNumberFormat="1" applyFont="1" applyFill="1" applyBorder="1" applyAlignment="1" applyProtection="1">
      <alignment horizontal="center" vertical="center"/>
      <protection hidden="1"/>
    </xf>
    <xf numFmtId="166" fontId="19" fillId="7" borderId="6" xfId="0" applyNumberFormat="1" applyFont="1" applyFill="1" applyBorder="1" applyAlignment="1" applyProtection="1">
      <alignment horizontal="center" vertical="top"/>
      <protection hidden="1"/>
    </xf>
    <xf numFmtId="166" fontId="19" fillId="7" borderId="11" xfId="0" applyNumberFormat="1" applyFont="1" applyFill="1" applyBorder="1" applyAlignment="1" applyProtection="1">
      <alignment horizontal="center" vertical="top"/>
      <protection hidden="1"/>
    </xf>
    <xf numFmtId="166" fontId="11" fillId="9" borderId="6" xfId="0" applyNumberFormat="1" applyFont="1" applyFill="1" applyBorder="1" applyAlignment="1" applyProtection="1">
      <alignment horizontal="center" vertical="top"/>
      <protection hidden="1"/>
    </xf>
    <xf numFmtId="166" fontId="11" fillId="9" borderId="11" xfId="0" applyNumberFormat="1" applyFont="1" applyFill="1" applyBorder="1" applyAlignment="1" applyProtection="1">
      <alignment horizontal="center" vertical="top"/>
      <protection hidden="1"/>
    </xf>
    <xf numFmtId="0" fontId="9" fillId="0" borderId="0" xfId="0" applyFont="1" applyAlignment="1" applyProtection="1">
      <alignment horizontal="right" vertical="center"/>
      <protection hidden="1"/>
    </xf>
    <xf numFmtId="164" fontId="10" fillId="0" borderId="0" xfId="0" applyNumberFormat="1" applyFont="1" applyAlignment="1" applyProtection="1">
      <alignment horizontal="center" vertical="center"/>
      <protection hidden="1"/>
    </xf>
    <xf numFmtId="167" fontId="27" fillId="11" borderId="65" xfId="0" applyNumberFormat="1" applyFont="1" applyFill="1" applyBorder="1" applyAlignment="1" applyProtection="1">
      <alignment horizontal="center" vertical="center"/>
      <protection hidden="1"/>
    </xf>
    <xf numFmtId="174" fontId="27" fillId="11" borderId="64" xfId="0" applyNumberFormat="1" applyFont="1" applyFill="1" applyBorder="1" applyAlignment="1" applyProtection="1">
      <alignment horizontal="center" vertical="center"/>
      <protection locked="0"/>
    </xf>
    <xf numFmtId="174" fontId="27" fillId="11" borderId="66" xfId="0" applyNumberFormat="1" applyFont="1" applyFill="1" applyBorder="1" applyAlignment="1" applyProtection="1">
      <alignment horizontal="center" vertical="center"/>
      <protection locked="0"/>
    </xf>
    <xf numFmtId="0" fontId="15" fillId="37" borderId="1" xfId="0" quotePrefix="1" applyFont="1" applyFill="1" applyBorder="1" applyAlignment="1" applyProtection="1">
      <alignment horizontal="center" vertical="center" wrapText="1"/>
      <protection hidden="1"/>
    </xf>
    <xf numFmtId="0" fontId="15" fillId="37" borderId="3" xfId="0" quotePrefix="1" applyFont="1" applyFill="1" applyBorder="1" applyAlignment="1" applyProtection="1">
      <alignment horizontal="center" vertical="center" wrapText="1"/>
      <protection hidden="1"/>
    </xf>
    <xf numFmtId="0" fontId="15" fillId="37" borderId="2" xfId="0" quotePrefix="1" applyFont="1" applyFill="1" applyBorder="1" applyAlignment="1" applyProtection="1">
      <alignment horizontal="center" vertical="center" wrapText="1"/>
      <protection hidden="1"/>
    </xf>
    <xf numFmtId="0" fontId="15" fillId="37" borderId="6" xfId="0" quotePrefix="1" applyFont="1" applyFill="1" applyBorder="1" applyAlignment="1" applyProtection="1">
      <alignment horizontal="center" vertical="center" wrapText="1"/>
      <protection hidden="1"/>
    </xf>
    <xf numFmtId="0" fontId="15" fillId="37" borderId="7" xfId="0" quotePrefix="1" applyFont="1" applyFill="1" applyBorder="1" applyAlignment="1" applyProtection="1">
      <alignment horizontal="center" vertical="center" wrapText="1"/>
      <protection hidden="1"/>
    </xf>
    <xf numFmtId="0" fontId="15" fillId="37" borderId="8" xfId="0" quotePrefix="1" applyFont="1" applyFill="1" applyBorder="1" applyAlignment="1" applyProtection="1">
      <alignment horizontal="center" vertical="center" wrapText="1"/>
      <protection hidden="1"/>
    </xf>
    <xf numFmtId="0" fontId="15" fillId="3" borderId="1" xfId="0" quotePrefix="1" applyFont="1" applyFill="1" applyBorder="1" applyAlignment="1" applyProtection="1">
      <alignment horizontal="center" vertical="center" wrapText="1"/>
      <protection hidden="1"/>
    </xf>
    <xf numFmtId="0" fontId="15" fillId="3" borderId="3" xfId="0" quotePrefix="1" applyFont="1" applyFill="1" applyBorder="1" applyAlignment="1" applyProtection="1">
      <alignment horizontal="center" vertical="center" wrapText="1"/>
      <protection hidden="1"/>
    </xf>
    <xf numFmtId="0" fontId="15" fillId="3" borderId="2" xfId="0" quotePrefix="1" applyFont="1" applyFill="1" applyBorder="1" applyAlignment="1" applyProtection="1">
      <alignment horizontal="center" vertical="center" wrapText="1"/>
      <protection hidden="1"/>
    </xf>
    <xf numFmtId="0" fontId="15" fillId="3" borderId="9" xfId="0" quotePrefix="1" applyFont="1" applyFill="1" applyBorder="1" applyAlignment="1" applyProtection="1">
      <alignment horizontal="center" vertical="center" wrapText="1"/>
      <protection hidden="1"/>
    </xf>
    <xf numFmtId="0" fontId="15" fillId="3" borderId="0" xfId="0" quotePrefix="1" applyFont="1" applyFill="1" applyAlignment="1" applyProtection="1">
      <alignment horizontal="center" vertical="center" wrapText="1"/>
      <protection hidden="1"/>
    </xf>
    <xf numFmtId="0" fontId="15" fillId="3" borderId="10" xfId="0" quotePrefix="1" applyFont="1" applyFill="1" applyBorder="1" applyAlignment="1" applyProtection="1">
      <alignment horizontal="center" vertical="center" wrapText="1"/>
      <protection hidden="1"/>
    </xf>
    <xf numFmtId="0" fontId="16" fillId="38" borderId="9" xfId="2" applyFont="1" applyFill="1" applyBorder="1" applyAlignment="1" applyProtection="1">
      <alignment horizontal="center"/>
      <protection hidden="1"/>
    </xf>
    <xf numFmtId="0" fontId="16" fillId="38" borderId="0" xfId="2" applyFont="1" applyFill="1" applyAlignment="1" applyProtection="1">
      <alignment horizontal="center"/>
      <protection hidden="1"/>
    </xf>
    <xf numFmtId="0" fontId="16" fillId="38" borderId="10" xfId="2" applyFont="1" applyFill="1" applyBorder="1" applyAlignment="1" applyProtection="1">
      <alignment horizontal="center"/>
      <protection hidden="1"/>
    </xf>
    <xf numFmtId="165" fontId="11" fillId="39" borderId="9" xfId="1" applyNumberFormat="1" applyFont="1" applyFill="1" applyBorder="1" applyAlignment="1" applyProtection="1">
      <alignment horizontal="center" vertical="center"/>
      <protection hidden="1"/>
    </xf>
    <xf numFmtId="165" fontId="11" fillId="39" borderId="0" xfId="1" applyNumberFormat="1" applyFont="1" applyFill="1" applyBorder="1" applyAlignment="1" applyProtection="1">
      <alignment horizontal="center" vertical="center"/>
      <protection hidden="1"/>
    </xf>
    <xf numFmtId="0" fontId="33" fillId="10" borderId="17" xfId="0" applyFont="1" applyFill="1" applyBorder="1" applyAlignment="1" applyProtection="1">
      <alignment horizontal="center" vertical="center"/>
      <protection hidden="1"/>
    </xf>
    <xf numFmtId="0" fontId="33" fillId="10" borderId="18" xfId="0" applyFont="1" applyFill="1" applyBorder="1" applyAlignment="1" applyProtection="1">
      <alignment horizontal="center" vertical="center"/>
      <protection hidden="1"/>
    </xf>
    <xf numFmtId="0" fontId="0" fillId="0" borderId="25" xfId="0" applyBorder="1" applyAlignment="1">
      <alignment horizontal="center" vertical="center"/>
    </xf>
    <xf numFmtId="165" fontId="11" fillId="4" borderId="18" xfId="1" applyNumberFormat="1" applyFont="1" applyFill="1" applyBorder="1" applyAlignment="1" applyProtection="1">
      <alignment horizontal="center" vertical="center"/>
      <protection hidden="1"/>
    </xf>
    <xf numFmtId="167" fontId="27" fillId="11" borderId="17" xfId="0" applyNumberFormat="1" applyFont="1" applyFill="1" applyBorder="1" applyAlignment="1" applyProtection="1">
      <alignment horizontal="center" vertical="center"/>
      <protection locked="0" hidden="1"/>
    </xf>
    <xf numFmtId="167" fontId="27" fillId="11" borderId="22" xfId="0" applyNumberFormat="1" applyFont="1" applyFill="1" applyBorder="1" applyAlignment="1" applyProtection="1">
      <alignment horizontal="center" vertical="center"/>
      <protection locked="0" hidden="1"/>
    </xf>
    <xf numFmtId="167" fontId="27" fillId="11" borderId="18" xfId="0" applyNumberFormat="1" applyFont="1" applyFill="1" applyBorder="1" applyAlignment="1" applyProtection="1">
      <alignment horizontal="center" vertical="center"/>
      <protection locked="0" hidden="1"/>
    </xf>
    <xf numFmtId="0" fontId="28" fillId="12" borderId="17" xfId="0" quotePrefix="1" applyFont="1" applyFill="1" applyBorder="1" applyAlignment="1" applyProtection="1">
      <alignment horizontal="center" vertical="center"/>
      <protection hidden="1"/>
    </xf>
    <xf numFmtId="0" fontId="28" fillId="12" borderId="22" xfId="0" quotePrefix="1" applyFont="1" applyFill="1" applyBorder="1" applyAlignment="1" applyProtection="1">
      <alignment horizontal="center" vertical="center"/>
      <protection hidden="1"/>
    </xf>
    <xf numFmtId="0" fontId="28" fillId="12" borderId="18" xfId="0" quotePrefix="1" applyFont="1" applyFill="1" applyBorder="1" applyAlignment="1" applyProtection="1">
      <alignment horizontal="center" vertical="center"/>
      <protection hidden="1"/>
    </xf>
    <xf numFmtId="0" fontId="63" fillId="12" borderId="26" xfId="0" quotePrefix="1" applyFont="1" applyFill="1" applyBorder="1" applyAlignment="1" applyProtection="1">
      <alignment horizontal="center" vertical="center"/>
      <protection hidden="1"/>
    </xf>
    <xf numFmtId="0" fontId="63" fillId="12" borderId="23" xfId="0" quotePrefix="1" applyFont="1" applyFill="1" applyBorder="1" applyAlignment="1" applyProtection="1">
      <alignment horizontal="center" vertical="center"/>
      <protection hidden="1"/>
    </xf>
    <xf numFmtId="0" fontId="63" fillId="12" borderId="24" xfId="0" quotePrefix="1" applyFont="1" applyFill="1" applyBorder="1" applyAlignment="1" applyProtection="1">
      <alignment horizontal="center" vertical="center"/>
      <protection hidden="1"/>
    </xf>
    <xf numFmtId="0" fontId="63" fillId="12" borderId="64" xfId="0" quotePrefix="1" applyFont="1" applyFill="1" applyBorder="1" applyAlignment="1" applyProtection="1">
      <alignment horizontal="center" vertical="center"/>
      <protection hidden="1"/>
    </xf>
    <xf numFmtId="0" fontId="63" fillId="12" borderId="66" xfId="0" quotePrefix="1" applyFont="1" applyFill="1" applyBorder="1" applyAlignment="1" applyProtection="1">
      <alignment horizontal="center" vertical="center"/>
      <protection hidden="1"/>
    </xf>
    <xf numFmtId="169" fontId="63" fillId="12" borderId="64" xfId="0" applyNumberFormat="1" applyFont="1" applyFill="1" applyBorder="1" applyAlignment="1" applyProtection="1">
      <alignment horizontal="center" vertical="center"/>
      <protection hidden="1"/>
    </xf>
    <xf numFmtId="169" fontId="63" fillId="12" borderId="66" xfId="0" applyNumberFormat="1" applyFont="1" applyFill="1" applyBorder="1" applyAlignment="1" applyProtection="1">
      <alignment horizontal="center" vertical="center"/>
      <protection hidden="1"/>
    </xf>
    <xf numFmtId="0" fontId="25" fillId="13" borderId="9" xfId="2" applyFont="1" applyFill="1" applyBorder="1" applyAlignment="1" applyProtection="1">
      <alignment horizontal="center" vertical="center"/>
      <protection hidden="1"/>
    </xf>
    <xf numFmtId="0" fontId="25" fillId="13" borderId="0" xfId="2" applyFont="1" applyFill="1" applyAlignment="1" applyProtection="1">
      <alignment horizontal="center" vertical="center"/>
      <protection hidden="1"/>
    </xf>
    <xf numFmtId="0" fontId="25" fillId="13" borderId="10" xfId="2" applyFont="1" applyFill="1" applyBorder="1" applyAlignment="1" applyProtection="1">
      <alignment horizontal="center" vertical="center"/>
      <protection hidden="1"/>
    </xf>
    <xf numFmtId="0" fontId="80" fillId="45" borderId="9" xfId="2" applyFont="1" applyFill="1" applyBorder="1" applyAlignment="1" applyProtection="1">
      <alignment horizontal="center" vertical="center" wrapText="1"/>
      <protection hidden="1"/>
    </xf>
    <xf numFmtId="0" fontId="80" fillId="45" borderId="0" xfId="2" applyFont="1" applyFill="1" applyAlignment="1" applyProtection="1">
      <alignment horizontal="center" vertical="center" wrapText="1"/>
      <protection hidden="1"/>
    </xf>
    <xf numFmtId="0" fontId="80" fillId="45" borderId="10" xfId="2" applyFont="1" applyFill="1" applyBorder="1" applyAlignment="1" applyProtection="1">
      <alignment horizontal="center" vertical="center" wrapText="1"/>
      <protection hidden="1"/>
    </xf>
    <xf numFmtId="0" fontId="0" fillId="0" borderId="18" xfId="0" applyBorder="1" applyAlignment="1">
      <alignment horizontal="center" vertical="center"/>
    </xf>
    <xf numFmtId="0" fontId="33" fillId="10" borderId="26" xfId="0" applyFont="1" applyFill="1" applyBorder="1" applyAlignment="1" applyProtection="1">
      <alignment horizontal="center" vertical="center"/>
      <protection hidden="1"/>
    </xf>
    <xf numFmtId="0" fontId="33" fillId="10" borderId="31" xfId="0" applyFont="1" applyFill="1" applyBorder="1" applyAlignment="1" applyProtection="1">
      <alignment horizontal="center" vertical="center"/>
      <protection hidden="1"/>
    </xf>
    <xf numFmtId="165" fontId="11" fillId="4" borderId="9" xfId="1" applyNumberFormat="1" applyFont="1" applyFill="1" applyBorder="1" applyAlignment="1" applyProtection="1">
      <alignment horizontal="center" vertical="center"/>
      <protection hidden="1"/>
    </xf>
    <xf numFmtId="165" fontId="11" fillId="4" borderId="0" xfId="1" applyNumberFormat="1" applyFont="1" applyFill="1" applyBorder="1" applyAlignment="1" applyProtection="1">
      <alignment horizontal="center" vertical="center"/>
      <protection hidden="1"/>
    </xf>
    <xf numFmtId="0" fontId="33" fillId="0" borderId="0" xfId="0" applyFont="1" applyAlignment="1" applyProtection="1">
      <alignment horizontal="center" vertical="center" wrapText="1"/>
      <protection hidden="1"/>
    </xf>
    <xf numFmtId="0" fontId="3" fillId="13" borderId="9" xfId="0" applyFont="1" applyFill="1" applyBorder="1" applyAlignment="1" applyProtection="1">
      <alignment horizontal="center"/>
      <protection hidden="1"/>
    </xf>
    <xf numFmtId="0" fontId="3" fillId="13" borderId="0" xfId="0" applyFont="1" applyFill="1" applyAlignment="1" applyProtection="1">
      <alignment horizontal="center"/>
      <protection hidden="1"/>
    </xf>
    <xf numFmtId="165" fontId="11" fillId="4" borderId="62" xfId="1" applyNumberFormat="1" applyFont="1" applyFill="1" applyBorder="1" applyAlignment="1" applyProtection="1">
      <alignment horizontal="center" vertical="center"/>
      <protection hidden="1"/>
    </xf>
    <xf numFmtId="166" fontId="81" fillId="0" borderId="14" xfId="0" applyNumberFormat="1" applyFont="1" applyBorder="1" applyAlignment="1" applyProtection="1">
      <alignment horizontal="center" vertical="center"/>
      <protection hidden="1"/>
    </xf>
    <xf numFmtId="166" fontId="81" fillId="0" borderId="39" xfId="0" applyNumberFormat="1" applyFont="1" applyBorder="1" applyAlignment="1" applyProtection="1">
      <alignment horizontal="center" vertical="center"/>
      <protection hidden="1"/>
    </xf>
    <xf numFmtId="166" fontId="81" fillId="0" borderId="20" xfId="0" applyNumberFormat="1" applyFont="1" applyBorder="1" applyAlignment="1" applyProtection="1">
      <alignment horizontal="center" vertical="center" wrapText="1"/>
      <protection hidden="1"/>
    </xf>
    <xf numFmtId="166" fontId="81" fillId="0" borderId="13" xfId="0" applyNumberFormat="1" applyFont="1" applyBorder="1" applyAlignment="1" applyProtection="1">
      <alignment horizontal="center" vertical="center"/>
      <protection hidden="1"/>
    </xf>
    <xf numFmtId="0" fontId="25" fillId="10" borderId="17" xfId="0" quotePrefix="1" applyFont="1" applyFill="1" applyBorder="1" applyAlignment="1" applyProtection="1">
      <alignment horizontal="center" vertical="center"/>
      <protection hidden="1"/>
    </xf>
    <xf numFmtId="0" fontId="25" fillId="10" borderId="18" xfId="0" quotePrefix="1" applyFont="1" applyFill="1" applyBorder="1" applyAlignment="1" applyProtection="1">
      <alignment horizontal="center" vertical="center"/>
      <protection hidden="1"/>
    </xf>
    <xf numFmtId="0" fontId="25" fillId="10" borderId="33" xfId="0" quotePrefix="1" applyFont="1" applyFill="1" applyBorder="1" applyAlignment="1" applyProtection="1">
      <alignment horizontal="center" vertical="center"/>
      <protection hidden="1"/>
    </xf>
    <xf numFmtId="0" fontId="25" fillId="10" borderId="34" xfId="0" quotePrefix="1" applyFont="1" applyFill="1" applyBorder="1" applyAlignment="1" applyProtection="1">
      <alignment horizontal="center" vertical="center"/>
      <protection hidden="1"/>
    </xf>
    <xf numFmtId="0" fontId="25" fillId="10" borderId="26" xfId="0" quotePrefix="1" applyFont="1" applyFill="1" applyBorder="1" applyAlignment="1" applyProtection="1">
      <alignment horizontal="center" vertical="center"/>
      <protection hidden="1"/>
    </xf>
    <xf numFmtId="0" fontId="25" fillId="10" borderId="31" xfId="0" quotePrefix="1" applyFont="1" applyFill="1" applyBorder="1" applyAlignment="1" applyProtection="1">
      <alignment horizontal="center" vertical="center"/>
      <protection hidden="1"/>
    </xf>
    <xf numFmtId="166" fontId="81" fillId="0" borderId="37" xfId="0" applyNumberFormat="1" applyFont="1" applyBorder="1" applyAlignment="1" applyProtection="1">
      <alignment horizontal="center" vertical="center"/>
      <protection hidden="1"/>
    </xf>
    <xf numFmtId="166" fontId="81" fillId="0" borderId="38" xfId="0" applyNumberFormat="1" applyFont="1" applyBorder="1" applyAlignment="1" applyProtection="1">
      <alignment horizontal="center" vertical="center" wrapText="1"/>
      <protection hidden="1"/>
    </xf>
    <xf numFmtId="0" fontId="87" fillId="10" borderId="89" xfId="0" applyFont="1" applyFill="1" applyBorder="1" applyAlignment="1" applyProtection="1">
      <alignment horizontal="left" vertical="center"/>
      <protection hidden="1"/>
    </xf>
    <xf numFmtId="0" fontId="87" fillId="10" borderId="90" xfId="0" applyFont="1" applyFill="1" applyBorder="1" applyAlignment="1" applyProtection="1">
      <alignment horizontal="left" vertical="center"/>
      <protection hidden="1"/>
    </xf>
    <xf numFmtId="0" fontId="86" fillId="45" borderId="87" xfId="0" applyFont="1" applyFill="1" applyBorder="1" applyAlignment="1" applyProtection="1">
      <alignment horizontal="center"/>
      <protection hidden="1"/>
    </xf>
    <xf numFmtId="0" fontId="86" fillId="45" borderId="0" xfId="0" applyFont="1" applyFill="1" applyAlignment="1" applyProtection="1">
      <alignment horizontal="center"/>
      <protection hidden="1"/>
    </xf>
    <xf numFmtId="165" fontId="11" fillId="6" borderId="26" xfId="1" applyNumberFormat="1" applyFont="1" applyFill="1" applyBorder="1" applyAlignment="1" applyProtection="1">
      <alignment horizontal="center" vertical="center"/>
      <protection hidden="1"/>
    </xf>
    <xf numFmtId="165" fontId="11" fillId="6" borderId="23" xfId="1" applyNumberFormat="1" applyFont="1" applyFill="1" applyBorder="1" applyAlignment="1" applyProtection="1">
      <alignment horizontal="center" vertical="center"/>
      <protection hidden="1"/>
    </xf>
    <xf numFmtId="0" fontId="17" fillId="5" borderId="9" xfId="2" applyFont="1" applyFill="1" applyBorder="1" applyAlignment="1" applyProtection="1">
      <alignment horizontal="center"/>
      <protection hidden="1"/>
    </xf>
    <xf numFmtId="0" fontId="17" fillId="5" borderId="0" xfId="2" applyFont="1" applyFill="1" applyAlignment="1" applyProtection="1">
      <alignment horizontal="center"/>
      <protection hidden="1"/>
    </xf>
    <xf numFmtId="165" fontId="11" fillId="4" borderId="26" xfId="1" applyNumberFormat="1" applyFont="1" applyFill="1" applyBorder="1" applyAlignment="1" applyProtection="1">
      <alignment horizontal="center" vertical="center"/>
      <protection hidden="1"/>
    </xf>
    <xf numFmtId="165" fontId="11" fillId="4" borderId="23" xfId="1" applyNumberFormat="1" applyFont="1" applyFill="1" applyBorder="1" applyAlignment="1" applyProtection="1">
      <alignment horizontal="center" vertical="center"/>
      <protection hidden="1"/>
    </xf>
    <xf numFmtId="165" fontId="20" fillId="10" borderId="9" xfId="1" applyNumberFormat="1" applyFont="1" applyFill="1" applyBorder="1" applyAlignment="1" applyProtection="1">
      <alignment horizontal="center" vertical="center" wrapText="1"/>
      <protection hidden="1"/>
    </xf>
    <xf numFmtId="165" fontId="20" fillId="10" borderId="0" xfId="1" applyNumberFormat="1" applyFont="1" applyFill="1" applyBorder="1" applyAlignment="1" applyProtection="1">
      <alignment horizontal="center" vertical="center" wrapText="1"/>
      <protection hidden="1"/>
    </xf>
    <xf numFmtId="0" fontId="84" fillId="0" borderId="9" xfId="7" applyBorder="1" applyAlignment="1">
      <alignment horizontal="center" vertical="center"/>
    </xf>
    <xf numFmtId="0" fontId="84" fillId="0" borderId="0" xfId="7" applyBorder="1" applyAlignment="1">
      <alignment horizontal="center" vertical="center"/>
    </xf>
    <xf numFmtId="165" fontId="11" fillId="4" borderId="27" xfId="1" applyNumberFormat="1" applyFont="1" applyFill="1" applyBorder="1" applyAlignment="1" applyProtection="1">
      <alignment horizontal="center" vertical="center"/>
      <protection hidden="1"/>
    </xf>
    <xf numFmtId="165" fontId="11" fillId="34" borderId="17" xfId="1" applyNumberFormat="1" applyFont="1" applyFill="1" applyBorder="1" applyAlignment="1" applyProtection="1">
      <alignment horizontal="center" vertical="center"/>
      <protection hidden="1"/>
    </xf>
    <xf numFmtId="165" fontId="11" fillId="34" borderId="22" xfId="1" applyNumberFormat="1" applyFont="1" applyFill="1" applyBorder="1" applyAlignment="1" applyProtection="1">
      <alignment horizontal="center" vertical="center"/>
      <protection hidden="1"/>
    </xf>
    <xf numFmtId="165" fontId="11" fillId="34" borderId="25" xfId="1" applyNumberFormat="1" applyFont="1" applyFill="1" applyBorder="1" applyAlignment="1" applyProtection="1">
      <alignment horizontal="center" vertical="center"/>
      <protection hidden="1"/>
    </xf>
    <xf numFmtId="0" fontId="28" fillId="12" borderId="25" xfId="0" quotePrefix="1" applyFont="1" applyFill="1" applyBorder="1" applyAlignment="1" applyProtection="1">
      <alignment horizontal="center" vertical="center"/>
      <protection hidden="1"/>
    </xf>
    <xf numFmtId="167" fontId="27" fillId="11" borderId="9" xfId="0" applyNumberFormat="1" applyFont="1" applyFill="1" applyBorder="1" applyAlignment="1" applyProtection="1">
      <alignment horizontal="center" vertical="center"/>
      <protection hidden="1"/>
    </xf>
    <xf numFmtId="167" fontId="27" fillId="11" borderId="0" xfId="0" applyNumberFormat="1" applyFont="1" applyFill="1" applyAlignment="1" applyProtection="1">
      <alignment horizontal="center" vertical="center"/>
      <protection hidden="1"/>
    </xf>
    <xf numFmtId="167" fontId="27" fillId="11" borderId="10" xfId="0" applyNumberFormat="1" applyFont="1" applyFill="1" applyBorder="1" applyAlignment="1" applyProtection="1">
      <alignment horizontal="center" vertical="center"/>
      <protection hidden="1"/>
    </xf>
    <xf numFmtId="0" fontId="24" fillId="0" borderId="0" xfId="0" quotePrefix="1" applyFont="1" applyAlignment="1" applyProtection="1">
      <alignment horizontal="left" vertical="center"/>
      <protection hidden="1"/>
    </xf>
    <xf numFmtId="0" fontId="37" fillId="13" borderId="0" xfId="3" applyFont="1" applyFill="1" applyBorder="1" applyAlignment="1">
      <alignment horizontal="center" vertical="center"/>
    </xf>
    <xf numFmtId="0" fontId="33" fillId="0" borderId="0" xfId="0" applyFont="1" applyAlignment="1" applyProtection="1">
      <alignment horizontal="center" vertical="center"/>
      <protection hidden="1"/>
    </xf>
    <xf numFmtId="170" fontId="20" fillId="10" borderId="9" xfId="0" quotePrefix="1" applyNumberFormat="1" applyFont="1" applyFill="1" applyBorder="1" applyAlignment="1" applyProtection="1">
      <alignment horizontal="center" vertical="center" wrapText="1"/>
      <protection hidden="1"/>
    </xf>
    <xf numFmtId="170" fontId="20" fillId="10" borderId="0" xfId="0" quotePrefix="1" applyNumberFormat="1" applyFont="1" applyFill="1" applyAlignment="1" applyProtection="1">
      <alignment horizontal="center" vertical="center" wrapText="1"/>
      <protection hidden="1"/>
    </xf>
    <xf numFmtId="0" fontId="3" fillId="10" borderId="20" xfId="0" applyFont="1" applyFill="1" applyBorder="1" applyAlignment="1" applyProtection="1">
      <alignment horizontal="center" vertical="center"/>
      <protection hidden="1"/>
    </xf>
    <xf numFmtId="165" fontId="11" fillId="4" borderId="20" xfId="1" applyNumberFormat="1" applyFont="1" applyFill="1" applyBorder="1" applyAlignment="1" applyProtection="1">
      <alignment horizontal="center" vertical="center"/>
      <protection hidden="1"/>
    </xf>
    <xf numFmtId="0" fontId="14" fillId="2" borderId="0" xfId="0" quotePrefix="1" applyFont="1" applyFill="1" applyAlignment="1" applyProtection="1">
      <alignment horizontal="center" vertical="center" wrapText="1"/>
      <protection hidden="1"/>
    </xf>
    <xf numFmtId="0" fontId="80" fillId="13" borderId="0" xfId="2" applyFont="1" applyFill="1" applyAlignment="1" applyProtection="1">
      <alignment horizontal="center" vertical="center" wrapText="1"/>
      <protection hidden="1"/>
    </xf>
    <xf numFmtId="0" fontId="80" fillId="13" borderId="10" xfId="2" applyFont="1" applyFill="1" applyBorder="1" applyAlignment="1" applyProtection="1">
      <alignment horizontal="center" vertical="center" wrapText="1"/>
      <protection hidden="1"/>
    </xf>
    <xf numFmtId="0" fontId="17" fillId="38" borderId="9" xfId="2" applyFont="1" applyFill="1" applyBorder="1" applyAlignment="1" applyProtection="1">
      <alignment horizontal="center"/>
      <protection hidden="1"/>
    </xf>
    <xf numFmtId="0" fontId="17" fillId="38" borderId="0" xfId="2" applyFont="1" applyFill="1" applyAlignment="1" applyProtection="1">
      <alignment horizontal="center"/>
      <protection hidden="1"/>
    </xf>
    <xf numFmtId="0" fontId="17" fillId="38" borderId="10" xfId="2" applyFont="1" applyFill="1" applyBorder="1" applyAlignment="1" applyProtection="1">
      <alignment horizontal="center"/>
      <protection hidden="1"/>
    </xf>
    <xf numFmtId="166" fontId="11" fillId="7" borderId="6" xfId="0" applyNumberFormat="1" applyFont="1" applyFill="1" applyBorder="1" applyAlignment="1" applyProtection="1">
      <alignment horizontal="center" vertical="top"/>
      <protection hidden="1"/>
    </xf>
    <xf numFmtId="166" fontId="11" fillId="7" borderId="11" xfId="0" applyNumberFormat="1" applyFont="1" applyFill="1" applyBorder="1" applyAlignment="1" applyProtection="1">
      <alignment horizontal="center" vertical="top"/>
      <protection hidden="1"/>
    </xf>
    <xf numFmtId="0" fontId="5" fillId="14" borderId="0" xfId="2" applyFont="1" applyFill="1" applyAlignment="1" applyProtection="1">
      <alignment horizontal="right" vertical="center"/>
      <protection hidden="1"/>
    </xf>
    <xf numFmtId="0" fontId="6" fillId="14" borderId="0" xfId="2" applyFont="1" applyFill="1" applyAlignment="1" applyProtection="1">
      <alignment horizontal="right" vertical="center"/>
      <protection hidden="1"/>
    </xf>
    <xf numFmtId="0" fontId="12" fillId="37" borderId="1" xfId="2" applyFont="1" applyFill="1" applyBorder="1" applyAlignment="1" applyProtection="1">
      <alignment horizontal="center" vertical="center"/>
      <protection hidden="1"/>
    </xf>
    <xf numFmtId="0" fontId="12" fillId="37" borderId="3" xfId="2" applyFont="1" applyFill="1" applyBorder="1" applyAlignment="1" applyProtection="1">
      <alignment horizontal="center" vertical="center"/>
      <protection hidden="1"/>
    </xf>
    <xf numFmtId="0" fontId="12" fillId="37" borderId="2" xfId="2" applyFont="1" applyFill="1" applyBorder="1" applyAlignment="1" applyProtection="1">
      <alignment horizontal="center" vertical="center"/>
      <protection hidden="1"/>
    </xf>
    <xf numFmtId="0" fontId="12" fillId="37" borderId="4" xfId="2" applyFont="1" applyFill="1" applyBorder="1" applyAlignment="1" applyProtection="1">
      <alignment horizontal="center" vertical="center"/>
      <protection hidden="1"/>
    </xf>
    <xf numFmtId="0" fontId="12" fillId="37" borderId="32" xfId="2" applyFont="1" applyFill="1" applyBorder="1" applyAlignment="1" applyProtection="1">
      <alignment horizontal="center" vertical="center"/>
      <protection hidden="1"/>
    </xf>
    <xf numFmtId="0" fontId="12" fillId="37" borderId="5" xfId="2" applyFont="1" applyFill="1" applyBorder="1" applyAlignment="1" applyProtection="1">
      <alignment horizontal="center" vertical="center"/>
      <protection hidden="1"/>
    </xf>
    <xf numFmtId="166" fontId="19" fillId="7" borderId="33" xfId="0" applyNumberFormat="1" applyFont="1" applyFill="1" applyBorder="1" applyAlignment="1" applyProtection="1">
      <alignment horizontal="center" vertical="top"/>
      <protection hidden="1"/>
    </xf>
    <xf numFmtId="166" fontId="19" fillId="7" borderId="34" xfId="0" applyNumberFormat="1" applyFont="1" applyFill="1" applyBorder="1" applyAlignment="1" applyProtection="1">
      <alignment horizontal="center" vertical="top"/>
      <protection hidden="1"/>
    </xf>
    <xf numFmtId="0" fontId="12" fillId="3" borderId="1" xfId="2" applyFont="1" applyFill="1" applyBorder="1" applyAlignment="1" applyProtection="1">
      <alignment horizontal="center" vertical="center"/>
      <protection hidden="1"/>
    </xf>
    <xf numFmtId="0" fontId="12" fillId="3" borderId="3" xfId="2" applyFont="1" applyFill="1" applyBorder="1" applyAlignment="1" applyProtection="1">
      <alignment horizontal="center" vertical="center"/>
      <protection hidden="1"/>
    </xf>
    <xf numFmtId="0" fontId="12" fillId="3" borderId="2" xfId="2" applyFont="1" applyFill="1" applyBorder="1" applyAlignment="1" applyProtection="1">
      <alignment horizontal="center" vertical="center"/>
      <protection hidden="1"/>
    </xf>
    <xf numFmtId="0" fontId="12" fillId="3" borderId="4" xfId="2" applyFont="1" applyFill="1" applyBorder="1" applyAlignment="1" applyProtection="1">
      <alignment horizontal="center" vertical="center"/>
      <protection hidden="1"/>
    </xf>
    <xf numFmtId="0" fontId="12" fillId="3" borderId="32" xfId="2" applyFont="1" applyFill="1" applyBorder="1" applyAlignment="1" applyProtection="1">
      <alignment horizontal="center" vertical="center"/>
      <protection hidden="1"/>
    </xf>
    <xf numFmtId="0" fontId="12" fillId="3" borderId="5" xfId="2" applyFont="1" applyFill="1" applyBorder="1" applyAlignment="1" applyProtection="1">
      <alignment horizontal="center" vertical="center"/>
      <protection hidden="1"/>
    </xf>
    <xf numFmtId="0" fontId="16" fillId="5" borderId="9" xfId="2" applyFont="1" applyFill="1" applyBorder="1" applyAlignment="1" applyProtection="1">
      <alignment horizontal="center" vertical="center"/>
      <protection hidden="1"/>
    </xf>
    <xf numFmtId="0" fontId="16" fillId="5" borderId="0" xfId="2" applyFont="1" applyFill="1" applyAlignment="1" applyProtection="1">
      <alignment horizontal="center" vertical="center"/>
      <protection hidden="1"/>
    </xf>
    <xf numFmtId="0" fontId="16" fillId="5" borderId="10" xfId="2" applyFont="1" applyFill="1" applyBorder="1" applyAlignment="1" applyProtection="1">
      <alignment horizontal="center" vertical="center"/>
      <protection hidden="1"/>
    </xf>
    <xf numFmtId="0" fontId="12" fillId="37" borderId="10" xfId="2" applyFont="1" applyFill="1" applyBorder="1" applyAlignment="1" applyProtection="1">
      <alignment horizontal="center" vertical="center"/>
      <protection hidden="1"/>
    </xf>
    <xf numFmtId="165" fontId="11" fillId="34" borderId="10" xfId="1" applyNumberFormat="1" applyFont="1" applyFill="1" applyBorder="1" applyAlignment="1" applyProtection="1">
      <alignment horizontal="center" vertical="center"/>
      <protection hidden="1"/>
    </xf>
    <xf numFmtId="0" fontId="16" fillId="38" borderId="10" xfId="2" applyFont="1" applyFill="1" applyBorder="1" applyAlignment="1" applyProtection="1">
      <alignment horizontal="center" vertical="center"/>
      <protection hidden="1"/>
    </xf>
    <xf numFmtId="0" fontId="25" fillId="10" borderId="26" xfId="0" applyFont="1" applyFill="1" applyBorder="1" applyAlignment="1" applyProtection="1">
      <alignment horizontal="center" vertical="center"/>
      <protection hidden="1"/>
    </xf>
    <xf numFmtId="0" fontId="25" fillId="10" borderId="31" xfId="0" applyFont="1" applyFill="1" applyBorder="1" applyAlignment="1" applyProtection="1">
      <alignment horizontal="center" vertical="center"/>
      <protection hidden="1"/>
    </xf>
    <xf numFmtId="165" fontId="11" fillId="6" borderId="24" xfId="1" applyNumberFormat="1" applyFont="1" applyFill="1" applyBorder="1" applyAlignment="1" applyProtection="1">
      <alignment horizontal="center" vertical="center"/>
      <protection hidden="1"/>
    </xf>
    <xf numFmtId="165" fontId="11" fillId="6" borderId="9" xfId="1" applyNumberFormat="1" applyFont="1" applyFill="1" applyBorder="1" applyAlignment="1" applyProtection="1">
      <alignment horizontal="center" vertical="center"/>
      <protection hidden="1"/>
    </xf>
    <xf numFmtId="165" fontId="11" fillId="6" borderId="0" xfId="1" applyNumberFormat="1" applyFont="1" applyFill="1" applyBorder="1" applyAlignment="1" applyProtection="1">
      <alignment horizontal="center" vertical="center"/>
      <protection hidden="1"/>
    </xf>
    <xf numFmtId="165" fontId="11" fillId="6" borderId="10" xfId="1" applyNumberFormat="1" applyFont="1" applyFill="1" applyBorder="1" applyAlignment="1" applyProtection="1">
      <alignment horizontal="center" vertical="center"/>
      <protection hidden="1"/>
    </xf>
    <xf numFmtId="0" fontId="17" fillId="5" borderId="10" xfId="2" applyFont="1" applyFill="1" applyBorder="1" applyAlignment="1" applyProtection="1">
      <alignment horizontal="center"/>
      <protection hidden="1"/>
    </xf>
    <xf numFmtId="165" fontId="11" fillId="4" borderId="24" xfId="1" applyNumberFormat="1" applyFont="1" applyFill="1" applyBorder="1" applyAlignment="1" applyProtection="1">
      <alignment horizontal="center" vertical="center"/>
      <protection hidden="1"/>
    </xf>
    <xf numFmtId="166" fontId="81" fillId="0" borderId="40" xfId="0" applyNumberFormat="1" applyFont="1" applyBorder="1" applyAlignment="1" applyProtection="1">
      <alignment horizontal="center" vertical="center" wrapText="1"/>
      <protection hidden="1"/>
    </xf>
    <xf numFmtId="166" fontId="81" fillId="0" borderId="23" xfId="0" applyNumberFormat="1" applyFont="1" applyBorder="1" applyAlignment="1" applyProtection="1">
      <alignment horizontal="center" vertical="center" wrapText="1"/>
      <protection hidden="1"/>
    </xf>
    <xf numFmtId="166" fontId="81" fillId="0" borderId="31" xfId="0" applyNumberFormat="1" applyFont="1" applyBorder="1" applyAlignment="1" applyProtection="1">
      <alignment horizontal="center" vertical="center" wrapText="1"/>
      <protection hidden="1"/>
    </xf>
    <xf numFmtId="166" fontId="81" fillId="0" borderId="57" xfId="0" applyNumberFormat="1" applyFont="1" applyBorder="1" applyAlignment="1" applyProtection="1">
      <alignment horizontal="center" vertical="center" wrapText="1"/>
      <protection hidden="1"/>
    </xf>
    <xf numFmtId="166" fontId="81" fillId="0" borderId="7" xfId="0" applyNumberFormat="1" applyFont="1" applyBorder="1" applyAlignment="1" applyProtection="1">
      <alignment horizontal="center" vertical="center" wrapText="1"/>
      <protection hidden="1"/>
    </xf>
    <xf numFmtId="166" fontId="81" fillId="0" borderId="11" xfId="0" applyNumberFormat="1" applyFont="1" applyBorder="1" applyAlignment="1" applyProtection="1">
      <alignment horizontal="center" vertical="center" wrapText="1"/>
      <protection hidden="1"/>
    </xf>
    <xf numFmtId="166" fontId="81" fillId="0" borderId="30" xfId="0" applyNumberFormat="1" applyFont="1" applyBorder="1" applyAlignment="1" applyProtection="1">
      <alignment horizontal="center" vertical="center"/>
      <protection hidden="1"/>
    </xf>
    <xf numFmtId="166" fontId="81" fillId="0" borderId="16" xfId="0" applyNumberFormat="1" applyFont="1" applyBorder="1" applyAlignment="1" applyProtection="1">
      <alignment horizontal="center" vertical="center"/>
      <protection hidden="1"/>
    </xf>
    <xf numFmtId="0" fontId="80" fillId="13" borderId="9" xfId="2" applyFont="1" applyFill="1" applyBorder="1" applyAlignment="1" applyProtection="1">
      <alignment horizontal="center" vertical="center" wrapText="1"/>
      <protection hidden="1"/>
    </xf>
    <xf numFmtId="166" fontId="95" fillId="35" borderId="27" xfId="0" applyNumberFormat="1" applyFont="1" applyFill="1" applyBorder="1" applyAlignment="1" applyProtection="1">
      <alignment horizontal="center" vertical="center"/>
      <protection hidden="1"/>
    </xf>
    <xf numFmtId="166" fontId="95" fillId="35" borderId="25" xfId="0" applyNumberFormat="1" applyFont="1" applyFill="1" applyBorder="1" applyAlignment="1" applyProtection="1">
      <alignment horizontal="center" vertical="center"/>
      <protection hidden="1"/>
    </xf>
    <xf numFmtId="0" fontId="99" fillId="0" borderId="40" xfId="0" applyFont="1" applyBorder="1" applyAlignment="1">
      <alignment horizontal="center" vertical="center" wrapText="1"/>
    </xf>
    <xf numFmtId="0" fontId="99" fillId="0" borderId="23" xfId="0" applyFont="1" applyBorder="1" applyAlignment="1">
      <alignment horizontal="center" vertical="center" wrapText="1"/>
    </xf>
    <xf numFmtId="0" fontId="99" fillId="0" borderId="31" xfId="0" applyFont="1" applyBorder="1" applyAlignment="1">
      <alignment horizontal="center" vertical="center" wrapText="1"/>
    </xf>
    <xf numFmtId="0" fontId="99" fillId="0" borderId="57" xfId="0" applyFont="1" applyBorder="1" applyAlignment="1">
      <alignment horizontal="center" vertical="center" wrapText="1"/>
    </xf>
    <xf numFmtId="0" fontId="99" fillId="0" borderId="7" xfId="0" applyFont="1" applyBorder="1" applyAlignment="1">
      <alignment horizontal="center" vertical="center" wrapText="1"/>
    </xf>
    <xf numFmtId="0" fontId="99" fillId="0" borderId="11" xfId="0" applyFont="1" applyBorder="1" applyAlignment="1">
      <alignment horizontal="center" vertical="center" wrapText="1"/>
    </xf>
    <xf numFmtId="0" fontId="80" fillId="13" borderId="4" xfId="2" applyFont="1" applyFill="1" applyBorder="1" applyAlignment="1" applyProtection="1">
      <alignment horizontal="center" vertical="center" wrapText="1"/>
      <protection hidden="1"/>
    </xf>
    <xf numFmtId="0" fontId="80" fillId="13" borderId="32" xfId="2" applyFont="1" applyFill="1" applyBorder="1" applyAlignment="1" applyProtection="1">
      <alignment horizontal="center" vertical="center" wrapText="1"/>
      <protection hidden="1"/>
    </xf>
    <xf numFmtId="0" fontId="80" fillId="13" borderId="5" xfId="2" applyFont="1" applyFill="1" applyBorder="1" applyAlignment="1" applyProtection="1">
      <alignment horizontal="center" vertical="center" wrapText="1"/>
      <protection hidden="1"/>
    </xf>
    <xf numFmtId="165" fontId="100" fillId="10" borderId="9" xfId="2" applyNumberFormat="1" applyFont="1" applyFill="1" applyBorder="1" applyAlignment="1" applyProtection="1">
      <alignment horizontal="center" vertical="center" wrapText="1"/>
      <protection hidden="1"/>
    </xf>
    <xf numFmtId="165" fontId="100" fillId="10" borderId="10" xfId="2" applyNumberFormat="1" applyFont="1" applyFill="1" applyBorder="1" applyAlignment="1" applyProtection="1">
      <alignment horizontal="center" vertical="center" wrapText="1"/>
      <protection hidden="1"/>
    </xf>
    <xf numFmtId="0" fontId="98" fillId="47" borderId="1" xfId="2" applyFont="1" applyFill="1" applyBorder="1" applyAlignment="1" applyProtection="1">
      <alignment horizontal="center" wrapText="1"/>
      <protection hidden="1"/>
    </xf>
    <xf numFmtId="0" fontId="98" fillId="47" borderId="3" xfId="2" applyFont="1" applyFill="1" applyBorder="1" applyAlignment="1" applyProtection="1">
      <alignment horizontal="center" wrapText="1"/>
      <protection hidden="1"/>
    </xf>
    <xf numFmtId="0" fontId="98" fillId="47" borderId="2" xfId="2" applyFont="1" applyFill="1" applyBorder="1" applyAlignment="1" applyProtection="1">
      <alignment horizontal="center" wrapText="1"/>
      <protection hidden="1"/>
    </xf>
    <xf numFmtId="0" fontId="98" fillId="47" borderId="9" xfId="2" applyFont="1" applyFill="1" applyBorder="1" applyAlignment="1" applyProtection="1">
      <alignment horizontal="center" wrapText="1"/>
      <protection hidden="1"/>
    </xf>
    <xf numFmtId="0" fontId="98" fillId="47" borderId="0" xfId="2" applyFont="1" applyFill="1" applyAlignment="1" applyProtection="1">
      <alignment horizontal="center" wrapText="1"/>
      <protection hidden="1"/>
    </xf>
    <xf numFmtId="0" fontId="98" fillId="47" borderId="10" xfId="2" applyFont="1" applyFill="1" applyBorder="1" applyAlignment="1" applyProtection="1">
      <alignment horizontal="center" wrapText="1"/>
      <protection hidden="1"/>
    </xf>
    <xf numFmtId="165" fontId="11" fillId="4" borderId="10" xfId="1" applyNumberFormat="1" applyFont="1" applyFill="1" applyBorder="1" applyAlignment="1" applyProtection="1">
      <alignment horizontal="center" vertical="center"/>
      <protection hidden="1"/>
    </xf>
    <xf numFmtId="0" fontId="100" fillId="10" borderId="9" xfId="2" applyFont="1" applyFill="1" applyBorder="1" applyAlignment="1" applyProtection="1">
      <alignment horizontal="center" vertical="center" wrapText="1"/>
      <protection hidden="1"/>
    </xf>
    <xf numFmtId="0" fontId="100" fillId="10" borderId="0" xfId="2" applyFont="1" applyFill="1" applyAlignment="1" applyProtection="1">
      <alignment horizontal="center" vertical="center" wrapText="1"/>
      <protection hidden="1"/>
    </xf>
    <xf numFmtId="0" fontId="100" fillId="10" borderId="10" xfId="2" applyFont="1" applyFill="1" applyBorder="1" applyAlignment="1" applyProtection="1">
      <alignment horizontal="center" vertical="center" wrapText="1"/>
      <protection hidden="1"/>
    </xf>
    <xf numFmtId="0" fontId="100" fillId="10" borderId="4" xfId="2" applyFont="1" applyFill="1" applyBorder="1" applyAlignment="1" applyProtection="1">
      <alignment horizontal="center" vertical="center" wrapText="1"/>
      <protection hidden="1"/>
    </xf>
    <xf numFmtId="0" fontId="100" fillId="10" borderId="32" xfId="2" applyFont="1" applyFill="1" applyBorder="1" applyAlignment="1" applyProtection="1">
      <alignment horizontal="center" vertical="center" wrapText="1"/>
      <protection hidden="1"/>
    </xf>
    <xf numFmtId="0" fontId="100" fillId="10" borderId="5" xfId="2" applyFont="1" applyFill="1" applyBorder="1" applyAlignment="1" applyProtection="1">
      <alignment horizontal="center" vertical="center" wrapText="1"/>
      <protection hidden="1"/>
    </xf>
    <xf numFmtId="0" fontId="84" fillId="10" borderId="9" xfId="7" applyFill="1" applyBorder="1" applyAlignment="1">
      <alignment horizontal="center" vertical="center"/>
    </xf>
    <xf numFmtId="0" fontId="84" fillId="10" borderId="10" xfId="7" applyFill="1" applyBorder="1" applyAlignment="1">
      <alignment horizontal="center" vertical="center"/>
    </xf>
    <xf numFmtId="0" fontId="80" fillId="45" borderId="9" xfId="2" applyFont="1" applyFill="1" applyBorder="1" applyAlignment="1" applyProtection="1">
      <alignment horizontal="center" vertical="center"/>
      <protection hidden="1"/>
    </xf>
    <xf numFmtId="0" fontId="80" fillId="45" borderId="0" xfId="2" applyFont="1" applyFill="1" applyAlignment="1" applyProtection="1">
      <alignment horizontal="center" vertical="center"/>
      <protection hidden="1"/>
    </xf>
    <xf numFmtId="0" fontId="80" fillId="45" borderId="10" xfId="2" applyFont="1" applyFill="1" applyBorder="1" applyAlignment="1" applyProtection="1">
      <alignment horizontal="center" vertical="center"/>
      <protection hidden="1"/>
    </xf>
    <xf numFmtId="0" fontId="98" fillId="47" borderId="9" xfId="2" applyFont="1" applyFill="1" applyBorder="1" applyAlignment="1" applyProtection="1">
      <alignment horizontal="center" vertical="center"/>
      <protection hidden="1"/>
    </xf>
    <xf numFmtId="0" fontId="98" fillId="47" borderId="0" xfId="2" applyFont="1" applyFill="1" applyAlignment="1" applyProtection="1">
      <alignment horizontal="center" vertical="center"/>
      <protection hidden="1"/>
    </xf>
    <xf numFmtId="0" fontId="98" fillId="47" borderId="10" xfId="2" applyFont="1" applyFill="1" applyBorder="1" applyAlignment="1" applyProtection="1">
      <alignment horizontal="center" vertical="center"/>
      <protection hidden="1"/>
    </xf>
    <xf numFmtId="0" fontId="47" fillId="0" borderId="17" xfId="0" quotePrefix="1" applyFont="1" applyBorder="1" applyAlignment="1" applyProtection="1">
      <alignment vertical="center"/>
      <protection hidden="1"/>
    </xf>
    <xf numFmtId="0" fontId="47" fillId="0" borderId="18" xfId="0" quotePrefix="1" applyFont="1" applyBorder="1" applyAlignment="1" applyProtection="1">
      <alignment vertical="center"/>
      <protection hidden="1"/>
    </xf>
    <xf numFmtId="0" fontId="47" fillId="18" borderId="17" xfId="0" quotePrefix="1" applyFont="1" applyFill="1" applyBorder="1" applyAlignment="1" applyProtection="1">
      <alignment vertical="center"/>
      <protection hidden="1"/>
    </xf>
    <xf numFmtId="0" fontId="47" fillId="18" borderId="18" xfId="0" quotePrefix="1" applyFont="1" applyFill="1" applyBorder="1" applyAlignment="1" applyProtection="1">
      <alignment vertical="center"/>
      <protection hidden="1"/>
    </xf>
    <xf numFmtId="0" fontId="48" fillId="22" borderId="1" xfId="0" applyFont="1" applyFill="1" applyBorder="1" applyAlignment="1" applyProtection="1">
      <alignment horizontal="center" vertical="top"/>
      <protection hidden="1"/>
    </xf>
    <xf numFmtId="0" fontId="48" fillId="22" borderId="3" xfId="0" applyFont="1" applyFill="1" applyBorder="1" applyAlignment="1" applyProtection="1">
      <alignment horizontal="center" vertical="top"/>
      <protection hidden="1"/>
    </xf>
    <xf numFmtId="0" fontId="54" fillId="20" borderId="40" xfId="2" applyFont="1" applyFill="1" applyBorder="1" applyAlignment="1" applyProtection="1">
      <alignment horizontal="center"/>
      <protection hidden="1"/>
    </xf>
    <xf numFmtId="0" fontId="54" fillId="20" borderId="23" xfId="2" applyFont="1" applyFill="1" applyBorder="1" applyAlignment="1" applyProtection="1">
      <alignment horizontal="center"/>
      <protection hidden="1"/>
    </xf>
    <xf numFmtId="0" fontId="54" fillId="20" borderId="31" xfId="2" applyFont="1" applyFill="1" applyBorder="1" applyAlignment="1" applyProtection="1">
      <alignment horizontal="center"/>
      <protection hidden="1"/>
    </xf>
    <xf numFmtId="0" fontId="48" fillId="22" borderId="4" xfId="0" applyFont="1" applyFill="1" applyBorder="1" applyAlignment="1" applyProtection="1">
      <alignment horizontal="center" vertical="top"/>
      <protection hidden="1"/>
    </xf>
    <xf numFmtId="0" fontId="48" fillId="22" borderId="32" xfId="0" applyFont="1" applyFill="1" applyBorder="1" applyAlignment="1" applyProtection="1">
      <alignment horizontal="center" vertical="top"/>
      <protection hidden="1"/>
    </xf>
    <xf numFmtId="0" fontId="58" fillId="21" borderId="33" xfId="2" applyFont="1" applyFill="1" applyBorder="1" applyAlignment="1" applyProtection="1">
      <alignment horizontal="center" vertical="top"/>
      <protection hidden="1"/>
    </xf>
    <xf numFmtId="0" fontId="58" fillId="21" borderId="52" xfId="2" applyFont="1" applyFill="1" applyBorder="1" applyAlignment="1" applyProtection="1">
      <alignment horizontal="center" vertical="top"/>
      <protection hidden="1"/>
    </xf>
    <xf numFmtId="0" fontId="58" fillId="21" borderId="53" xfId="2" applyFont="1" applyFill="1" applyBorder="1" applyAlignment="1" applyProtection="1">
      <alignment horizontal="center" vertical="top"/>
      <protection hidden="1"/>
    </xf>
    <xf numFmtId="0" fontId="54" fillId="20" borderId="4" xfId="2" applyFont="1" applyFill="1" applyBorder="1" applyAlignment="1" applyProtection="1">
      <alignment horizontal="center"/>
      <protection hidden="1"/>
    </xf>
    <xf numFmtId="0" fontId="54" fillId="20" borderId="32" xfId="2" applyFont="1" applyFill="1" applyBorder="1" applyAlignment="1" applyProtection="1">
      <alignment horizontal="center"/>
      <protection hidden="1"/>
    </xf>
    <xf numFmtId="0" fontId="76" fillId="44" borderId="69" xfId="6" applyFont="1" applyFill="1" applyBorder="1" applyAlignment="1">
      <alignment horizontal="center" vertical="center" wrapText="1"/>
    </xf>
    <xf numFmtId="0" fontId="76" fillId="44" borderId="68" xfId="6" applyFont="1" applyFill="1" applyBorder="1" applyAlignment="1">
      <alignment horizontal="center" vertical="center" wrapText="1"/>
    </xf>
    <xf numFmtId="0" fontId="76" fillId="44" borderId="67" xfId="6" applyFont="1" applyFill="1" applyBorder="1" applyAlignment="1">
      <alignment horizontal="center" vertical="center" wrapText="1"/>
    </xf>
    <xf numFmtId="0" fontId="76" fillId="42" borderId="69" xfId="6" applyFont="1" applyFill="1" applyBorder="1" applyAlignment="1">
      <alignment horizontal="center" vertical="center" wrapText="1"/>
    </xf>
    <xf numFmtId="0" fontId="76" fillId="42" borderId="67" xfId="6" applyFont="1" applyFill="1" applyBorder="1" applyAlignment="1">
      <alignment horizontal="center" vertical="center" wrapText="1"/>
    </xf>
    <xf numFmtId="0" fontId="76" fillId="0" borderId="69" xfId="6" applyFont="1" applyBorder="1" applyAlignment="1">
      <alignment horizontal="center" vertical="center" wrapText="1"/>
    </xf>
    <xf numFmtId="0" fontId="76" fillId="0" borderId="67" xfId="6" applyFont="1" applyBorder="1" applyAlignment="1">
      <alignment horizontal="center" vertical="center" wrapText="1"/>
    </xf>
    <xf numFmtId="0" fontId="71" fillId="0" borderId="69" xfId="6" applyFont="1" applyBorder="1" applyAlignment="1">
      <alignment horizontal="center" vertical="center" wrapText="1"/>
    </xf>
    <xf numFmtId="0" fontId="71" fillId="0" borderId="67" xfId="6" applyFont="1" applyBorder="1" applyAlignment="1">
      <alignment horizontal="center" vertical="center" wrapText="1"/>
    </xf>
    <xf numFmtId="0" fontId="72" fillId="41" borderId="69" xfId="6" applyFont="1" applyFill="1" applyBorder="1" applyAlignment="1">
      <alignment horizontal="center" vertical="center" wrapText="1"/>
    </xf>
    <xf numFmtId="0" fontId="72" fillId="41" borderId="68" xfId="6" applyFont="1" applyFill="1" applyBorder="1" applyAlignment="1">
      <alignment horizontal="center" vertical="center" wrapText="1"/>
    </xf>
    <xf numFmtId="0" fontId="72" fillId="41" borderId="67" xfId="6" applyFont="1" applyFill="1" applyBorder="1" applyAlignment="1">
      <alignment horizontal="center" vertical="center" wrapText="1"/>
    </xf>
    <xf numFmtId="0" fontId="71" fillId="42" borderId="69" xfId="6" applyFont="1" applyFill="1" applyBorder="1" applyAlignment="1">
      <alignment horizontal="center" vertical="center" wrapText="1"/>
    </xf>
    <xf numFmtId="0" fontId="71" fillId="42" borderId="67" xfId="6" applyFont="1" applyFill="1" applyBorder="1" applyAlignment="1">
      <alignment horizontal="center" vertical="center" wrapText="1"/>
    </xf>
    <xf numFmtId="0" fontId="79" fillId="0" borderId="0" xfId="6" applyFont="1" applyAlignment="1">
      <alignment horizontal="center" vertical="center"/>
    </xf>
    <xf numFmtId="0" fontId="71" fillId="0" borderId="0" xfId="6" applyFont="1" applyAlignment="1">
      <alignment horizontal="center" vertical="center" wrapText="1"/>
    </xf>
    <xf numFmtId="0" fontId="71" fillId="0" borderId="0" xfId="6" applyFont="1" applyAlignment="1">
      <alignment horizontal="center" vertical="center"/>
    </xf>
    <xf numFmtId="0" fontId="71" fillId="0" borderId="71" xfId="6" applyFont="1" applyBorder="1" applyAlignment="1">
      <alignment horizontal="center" vertical="center" wrapText="1"/>
    </xf>
    <xf numFmtId="0" fontId="71" fillId="0" borderId="16" xfId="6" applyFont="1" applyBorder="1" applyAlignment="1">
      <alignment horizontal="center" vertical="center" wrapText="1"/>
    </xf>
    <xf numFmtId="0" fontId="71" fillId="0" borderId="13" xfId="6" applyFont="1" applyBorder="1" applyAlignment="1">
      <alignment horizontal="center" vertical="center" wrapText="1"/>
    </xf>
    <xf numFmtId="0" fontId="71" fillId="0" borderId="14" xfId="6" applyFont="1" applyBorder="1" applyAlignment="1">
      <alignment horizontal="center" vertical="center" wrapText="1"/>
    </xf>
    <xf numFmtId="0" fontId="71" fillId="0" borderId="28" xfId="6" applyFont="1" applyBorder="1" applyAlignment="1">
      <alignment horizontal="center" vertical="center" wrapText="1"/>
    </xf>
    <xf numFmtId="0" fontId="71" fillId="0" borderId="30" xfId="6" applyFont="1" applyBorder="1" applyAlignment="1">
      <alignment horizontal="center" vertical="center" wrapText="1"/>
    </xf>
    <xf numFmtId="0" fontId="79" fillId="0" borderId="72" xfId="6" applyFont="1" applyBorder="1" applyAlignment="1">
      <alignment horizontal="center" vertical="center"/>
    </xf>
    <xf numFmtId="0" fontId="79" fillId="0" borderId="73" xfId="6" applyFont="1" applyBorder="1" applyAlignment="1">
      <alignment horizontal="center" vertical="center"/>
    </xf>
    <xf numFmtId="0" fontId="71" fillId="0" borderId="74" xfId="6" applyFont="1" applyBorder="1" applyAlignment="1">
      <alignment horizontal="center" vertical="center"/>
    </xf>
    <xf numFmtId="0" fontId="71" fillId="0" borderId="75" xfId="6" applyFont="1" applyBorder="1" applyAlignment="1">
      <alignment horizontal="center" vertical="center"/>
    </xf>
    <xf numFmtId="0" fontId="79" fillId="0" borderId="64" xfId="6" applyFont="1" applyBorder="1" applyAlignment="1">
      <alignment horizontal="center" vertical="center"/>
    </xf>
    <xf numFmtId="0" fontId="79" fillId="0" borderId="66" xfId="6" applyFont="1" applyBorder="1" applyAlignment="1">
      <alignment horizontal="center" vertical="center"/>
    </xf>
    <xf numFmtId="0" fontId="71" fillId="0" borderId="37" xfId="6" applyFont="1" applyBorder="1" applyAlignment="1">
      <alignment horizontal="center" vertical="center" wrapText="1"/>
    </xf>
    <xf numFmtId="0" fontId="71" fillId="0" borderId="39" xfId="6" applyFont="1" applyBorder="1" applyAlignment="1">
      <alignment horizontal="center" vertical="center" wrapText="1"/>
    </xf>
    <xf numFmtId="0" fontId="79" fillId="0" borderId="1" xfId="6" applyFont="1" applyBorder="1" applyAlignment="1">
      <alignment horizontal="center" vertical="center" wrapText="1"/>
    </xf>
    <xf numFmtId="0" fontId="79" fillId="0" borderId="3" xfId="6" applyFont="1" applyBorder="1" applyAlignment="1">
      <alignment horizontal="center" vertical="center" wrapText="1"/>
    </xf>
    <xf numFmtId="0" fontId="79" fillId="0" borderId="9" xfId="6" applyFont="1" applyBorder="1" applyAlignment="1">
      <alignment horizontal="center" vertical="center" wrapText="1"/>
    </xf>
    <xf numFmtId="0" fontId="79" fillId="0" borderId="0" xfId="6" applyFont="1" applyAlignment="1">
      <alignment horizontal="center" vertical="center" wrapText="1"/>
    </xf>
    <xf numFmtId="0" fontId="71" fillId="0" borderId="27" xfId="6" applyFont="1" applyBorder="1" applyAlignment="1">
      <alignment horizontal="center" vertical="center" wrapText="1"/>
    </xf>
    <xf numFmtId="0" fontId="71" fillId="0" borderId="27" xfId="6" applyFont="1" applyBorder="1" applyAlignment="1">
      <alignment horizontal="center" vertical="center"/>
    </xf>
    <xf numFmtId="0" fontId="71" fillId="0" borderId="13" xfId="6" applyFont="1" applyBorder="1" applyAlignment="1">
      <alignment horizontal="center" vertical="center"/>
    </xf>
    <xf numFmtId="0" fontId="71" fillId="0" borderId="14" xfId="6" applyFont="1" applyBorder="1" applyAlignment="1">
      <alignment horizontal="center" vertical="center"/>
    </xf>
    <xf numFmtId="0" fontId="71" fillId="0" borderId="37" xfId="6" applyFont="1" applyBorder="1" applyAlignment="1">
      <alignment horizontal="center" vertical="center"/>
    </xf>
    <xf numFmtId="0" fontId="71" fillId="0" borderId="39" xfId="6" applyFont="1" applyBorder="1" applyAlignment="1">
      <alignment horizontal="center" vertical="center"/>
    </xf>
    <xf numFmtId="0" fontId="71" fillId="0" borderId="47" xfId="6" applyFont="1" applyBorder="1" applyAlignment="1">
      <alignment horizontal="center" vertical="center" wrapText="1"/>
    </xf>
    <xf numFmtId="0" fontId="71" fillId="0" borderId="36" xfId="6" applyFont="1" applyBorder="1" applyAlignment="1">
      <alignment horizontal="center" vertical="center"/>
    </xf>
    <xf numFmtId="0" fontId="47" fillId="36" borderId="17" xfId="0" quotePrefix="1" applyFont="1" applyFill="1" applyBorder="1" applyAlignment="1" applyProtection="1">
      <alignment vertical="center"/>
      <protection hidden="1"/>
    </xf>
    <xf numFmtId="0" fontId="47" fillId="36" borderId="18" xfId="0" quotePrefix="1" applyFont="1" applyFill="1" applyBorder="1" applyAlignment="1" applyProtection="1">
      <alignment vertical="center"/>
      <protection hidden="1"/>
    </xf>
    <xf numFmtId="0" fontId="54" fillId="13" borderId="1" xfId="2" applyFont="1" applyFill="1" applyBorder="1" applyAlignment="1" applyProtection="1">
      <alignment horizontal="center"/>
      <protection hidden="1"/>
    </xf>
    <xf numFmtId="0" fontId="54" fillId="13" borderId="3" xfId="2" applyFont="1" applyFill="1" applyBorder="1" applyAlignment="1" applyProtection="1">
      <alignment horizontal="center"/>
      <protection hidden="1"/>
    </xf>
    <xf numFmtId="0" fontId="54" fillId="13" borderId="2" xfId="2" applyFont="1" applyFill="1" applyBorder="1" applyAlignment="1" applyProtection="1">
      <alignment horizontal="center"/>
      <protection hidden="1"/>
    </xf>
    <xf numFmtId="0" fontId="54" fillId="13" borderId="40" xfId="2" applyFont="1" applyFill="1" applyBorder="1" applyAlignment="1" applyProtection="1">
      <alignment horizontal="center"/>
      <protection hidden="1"/>
    </xf>
    <xf numFmtId="0" fontId="54" fillId="13" borderId="23" xfId="2" applyFont="1" applyFill="1" applyBorder="1" applyAlignment="1" applyProtection="1">
      <alignment horizontal="center"/>
      <protection hidden="1"/>
    </xf>
    <xf numFmtId="0" fontId="45" fillId="48" borderId="17" xfId="0" quotePrefix="1" applyFont="1" applyFill="1" applyBorder="1" applyAlignment="1" applyProtection="1">
      <alignment horizontal="center" vertical="center"/>
      <protection hidden="1"/>
    </xf>
    <xf numFmtId="0" fontId="45" fillId="48" borderId="18" xfId="0" quotePrefix="1" applyFont="1" applyFill="1" applyBorder="1" applyAlignment="1" applyProtection="1">
      <alignment horizontal="center" vertical="center"/>
      <protection hidden="1"/>
    </xf>
    <xf numFmtId="166" fontId="19" fillId="24" borderId="17" xfId="0" applyNumberFormat="1" applyFont="1" applyFill="1" applyBorder="1" applyAlignment="1" applyProtection="1">
      <alignment horizontal="center" vertical="top"/>
      <protection hidden="1"/>
    </xf>
    <xf numFmtId="166" fontId="19" fillId="24" borderId="18" xfId="0" applyNumberFormat="1" applyFont="1" applyFill="1" applyBorder="1" applyAlignment="1" applyProtection="1">
      <alignment horizontal="center" vertical="top"/>
      <protection hidden="1"/>
    </xf>
    <xf numFmtId="167" fontId="27" fillId="26" borderId="17" xfId="0" applyNumberFormat="1" applyFont="1" applyFill="1" applyBorder="1" applyAlignment="1" applyProtection="1">
      <alignment horizontal="center" vertical="center"/>
      <protection locked="0" hidden="1"/>
    </xf>
    <xf numFmtId="167" fontId="27" fillId="26" borderId="22" xfId="0" applyNumberFormat="1" applyFont="1" applyFill="1" applyBorder="1" applyAlignment="1" applyProtection="1">
      <alignment horizontal="center" vertical="center"/>
      <protection locked="0" hidden="1"/>
    </xf>
    <xf numFmtId="167" fontId="27" fillId="26" borderId="18" xfId="0" applyNumberFormat="1" applyFont="1" applyFill="1" applyBorder="1" applyAlignment="1" applyProtection="1">
      <alignment horizontal="center" vertical="center"/>
      <protection locked="0" hidden="1"/>
    </xf>
    <xf numFmtId="0" fontId="41" fillId="17" borderId="17" xfId="0" quotePrefix="1" applyFont="1" applyFill="1" applyBorder="1" applyAlignment="1" applyProtection="1">
      <alignment horizontal="center" vertical="center"/>
      <protection hidden="1"/>
    </xf>
    <xf numFmtId="0" fontId="41" fillId="17" borderId="22" xfId="0" quotePrefix="1" applyFont="1" applyFill="1" applyBorder="1" applyAlignment="1" applyProtection="1">
      <alignment horizontal="center" vertical="center"/>
      <protection hidden="1"/>
    </xf>
    <xf numFmtId="0" fontId="41" fillId="17" borderId="25" xfId="0" quotePrefix="1" applyFont="1" applyFill="1" applyBorder="1" applyAlignment="1" applyProtection="1">
      <alignment horizontal="center" vertical="center"/>
      <protection hidden="1"/>
    </xf>
    <xf numFmtId="166" fontId="11" fillId="24" borderId="6" xfId="0" applyNumberFormat="1" applyFont="1" applyFill="1" applyBorder="1" applyAlignment="1" applyProtection="1">
      <alignment horizontal="center" vertical="top"/>
      <protection hidden="1"/>
    </xf>
    <xf numFmtId="166" fontId="11" fillId="24" borderId="11" xfId="0" applyNumberFormat="1" applyFont="1" applyFill="1" applyBorder="1" applyAlignment="1" applyProtection="1">
      <alignment horizontal="center" vertical="top"/>
      <protection hidden="1"/>
    </xf>
    <xf numFmtId="166" fontId="19" fillId="24" borderId="6" xfId="0" applyNumberFormat="1" applyFont="1" applyFill="1" applyBorder="1" applyAlignment="1" applyProtection="1">
      <alignment horizontal="center" vertical="top"/>
      <protection hidden="1"/>
    </xf>
    <xf numFmtId="166" fontId="19" fillId="24" borderId="11" xfId="0" applyNumberFormat="1" applyFont="1" applyFill="1" applyBorder="1" applyAlignment="1" applyProtection="1">
      <alignment horizontal="center" vertical="top"/>
      <protection hidden="1"/>
    </xf>
    <xf numFmtId="0" fontId="16" fillId="25" borderId="9" xfId="2" applyFont="1" applyFill="1" applyBorder="1" applyAlignment="1" applyProtection="1">
      <alignment horizontal="center"/>
      <protection hidden="1"/>
    </xf>
    <xf numFmtId="0" fontId="16" fillId="25" borderId="0" xfId="2" applyFont="1" applyFill="1" applyAlignment="1" applyProtection="1">
      <alignment horizontal="center"/>
      <protection hidden="1"/>
    </xf>
    <xf numFmtId="0" fontId="16" fillId="25" borderId="10" xfId="2" applyFont="1" applyFill="1" applyBorder="1" applyAlignment="1" applyProtection="1">
      <alignment horizontal="center"/>
      <protection hidden="1"/>
    </xf>
    <xf numFmtId="0" fontId="41" fillId="17" borderId="18" xfId="0" quotePrefix="1" applyFont="1" applyFill="1" applyBorder="1" applyAlignment="1" applyProtection="1">
      <alignment horizontal="center" vertical="center"/>
      <protection hidden="1"/>
    </xf>
    <xf numFmtId="165" fontId="11" fillId="32" borderId="9" xfId="1" applyNumberFormat="1" applyFont="1" applyFill="1" applyBorder="1" applyAlignment="1" applyProtection="1">
      <alignment horizontal="center" vertical="center"/>
      <protection hidden="1"/>
    </xf>
    <xf numFmtId="165" fontId="11" fillId="32" borderId="0" xfId="1" applyNumberFormat="1" applyFont="1" applyFill="1" applyBorder="1" applyAlignment="1" applyProtection="1">
      <alignment horizontal="center" vertical="center"/>
      <protection hidden="1"/>
    </xf>
    <xf numFmtId="166" fontId="19" fillId="24" borderId="33" xfId="0" applyNumberFormat="1" applyFont="1" applyFill="1" applyBorder="1" applyAlignment="1" applyProtection="1">
      <alignment horizontal="center" vertical="top"/>
      <protection hidden="1"/>
    </xf>
    <xf numFmtId="166" fontId="19" fillId="24" borderId="34" xfId="0" applyNumberFormat="1" applyFont="1" applyFill="1" applyBorder="1" applyAlignment="1" applyProtection="1">
      <alignment horizontal="center" vertical="top"/>
      <protection hidden="1"/>
    </xf>
    <xf numFmtId="0" fontId="22" fillId="15" borderId="13" xfId="0" applyFont="1" applyFill="1" applyBorder="1" applyAlignment="1" applyProtection="1">
      <alignment horizontal="center" vertical="center"/>
      <protection hidden="1"/>
    </xf>
    <xf numFmtId="0" fontId="22" fillId="15" borderId="20" xfId="0" applyFont="1" applyFill="1" applyBorder="1" applyAlignment="1" applyProtection="1">
      <alignment horizontal="center" vertical="center"/>
      <protection hidden="1"/>
    </xf>
    <xf numFmtId="165" fontId="11" fillId="31" borderId="26" xfId="1" applyNumberFormat="1" applyFont="1" applyFill="1" applyBorder="1" applyAlignment="1" applyProtection="1">
      <alignment horizontal="center" vertical="center"/>
      <protection hidden="1"/>
    </xf>
    <xf numFmtId="165" fontId="11" fillId="31" borderId="23" xfId="1" applyNumberFormat="1" applyFont="1" applyFill="1" applyBorder="1" applyAlignment="1" applyProtection="1">
      <alignment horizontal="center" vertical="center"/>
      <protection hidden="1"/>
    </xf>
    <xf numFmtId="165" fontId="11" fillId="31" borderId="24" xfId="1" applyNumberFormat="1" applyFont="1" applyFill="1" applyBorder="1" applyAlignment="1" applyProtection="1">
      <alignment horizontal="center" vertical="center"/>
      <protection hidden="1"/>
    </xf>
    <xf numFmtId="0" fontId="25" fillId="10" borderId="47" xfId="0" quotePrefix="1" applyFont="1" applyFill="1" applyBorder="1" applyAlignment="1" applyProtection="1">
      <alignment horizontal="center" vertical="center"/>
      <protection hidden="1"/>
    </xf>
    <xf numFmtId="0" fontId="25" fillId="10" borderId="48" xfId="0" quotePrefix="1" applyFont="1" applyFill="1" applyBorder="1" applyAlignment="1" applyProtection="1">
      <alignment horizontal="center" vertical="center"/>
      <protection hidden="1"/>
    </xf>
    <xf numFmtId="0" fontId="25" fillId="10" borderId="13" xfId="0" quotePrefix="1" applyFont="1" applyFill="1" applyBorder="1" applyAlignment="1" applyProtection="1">
      <alignment horizontal="center" vertical="center"/>
      <protection hidden="1"/>
    </xf>
    <xf numFmtId="0" fontId="25" fillId="10" borderId="20" xfId="0" quotePrefix="1" applyFont="1" applyFill="1" applyBorder="1" applyAlignment="1" applyProtection="1">
      <alignment horizontal="center" vertical="center"/>
      <protection hidden="1"/>
    </xf>
    <xf numFmtId="0" fontId="25" fillId="10" borderId="28" xfId="0" quotePrefix="1" applyFont="1" applyFill="1" applyBorder="1" applyAlignment="1" applyProtection="1">
      <alignment horizontal="center" vertical="center"/>
      <protection hidden="1"/>
    </xf>
    <xf numFmtId="0" fontId="25" fillId="10" borderId="29" xfId="0" quotePrefix="1" applyFont="1" applyFill="1" applyBorder="1" applyAlignment="1" applyProtection="1">
      <alignment horizontal="center" vertical="center"/>
      <protection hidden="1"/>
    </xf>
    <xf numFmtId="165" fontId="11" fillId="31" borderId="17" xfId="1" applyNumberFormat="1" applyFont="1" applyFill="1" applyBorder="1" applyAlignment="1" applyProtection="1">
      <alignment horizontal="center" vertical="center"/>
      <protection hidden="1"/>
    </xf>
    <xf numFmtId="165" fontId="11" fillId="31" borderId="22" xfId="1" applyNumberFormat="1" applyFont="1" applyFill="1" applyBorder="1" applyAlignment="1" applyProtection="1">
      <alignment horizontal="center" vertical="center"/>
      <protection hidden="1"/>
    </xf>
    <xf numFmtId="165" fontId="11" fillId="31" borderId="25" xfId="1" applyNumberFormat="1" applyFont="1" applyFill="1" applyBorder="1" applyAlignment="1" applyProtection="1">
      <alignment horizontal="center" vertical="center"/>
      <protection hidden="1"/>
    </xf>
    <xf numFmtId="0" fontId="37" fillId="0" borderId="26" xfId="3" applyFont="1" applyBorder="1" applyAlignment="1">
      <alignment horizontal="center" vertical="center"/>
    </xf>
    <xf numFmtId="0" fontId="37" fillId="0" borderId="24" xfId="3" applyFont="1" applyBorder="1" applyAlignment="1">
      <alignment horizontal="center" vertical="center"/>
    </xf>
    <xf numFmtId="165" fontId="11" fillId="31" borderId="6" xfId="1" applyNumberFormat="1" applyFont="1" applyFill="1" applyBorder="1" applyAlignment="1" applyProtection="1">
      <alignment horizontal="center" vertical="center"/>
      <protection hidden="1"/>
    </xf>
    <xf numFmtId="165" fontId="11" fillId="31" borderId="8" xfId="1" applyNumberFormat="1" applyFont="1" applyFill="1" applyBorder="1" applyAlignment="1" applyProtection="1">
      <alignment horizontal="center" vertical="center"/>
      <protection hidden="1"/>
    </xf>
    <xf numFmtId="0" fontId="22" fillId="15" borderId="37" xfId="0" applyFont="1" applyFill="1" applyBorder="1" applyAlignment="1" applyProtection="1">
      <alignment horizontal="center" vertical="center"/>
      <protection hidden="1"/>
    </xf>
    <xf numFmtId="0" fontId="22" fillId="15" borderId="38" xfId="0" applyFont="1" applyFill="1" applyBorder="1" applyAlignment="1" applyProtection="1">
      <alignment horizontal="center" vertical="center"/>
      <protection hidden="1"/>
    </xf>
    <xf numFmtId="165" fontId="11" fillId="31" borderId="18" xfId="1" applyNumberFormat="1" applyFont="1" applyFill="1" applyBorder="1" applyAlignment="1" applyProtection="1">
      <alignment horizontal="center" vertical="center"/>
      <protection hidden="1"/>
    </xf>
    <xf numFmtId="165" fontId="11" fillId="31" borderId="33" xfId="1" applyNumberFormat="1" applyFont="1" applyFill="1" applyBorder="1" applyAlignment="1" applyProtection="1">
      <alignment horizontal="center" vertical="center"/>
      <protection hidden="1"/>
    </xf>
    <xf numFmtId="165" fontId="11" fillId="31" borderId="52" xfId="1" applyNumberFormat="1" applyFont="1" applyFill="1" applyBorder="1" applyAlignment="1" applyProtection="1">
      <alignment horizontal="center" vertical="center"/>
      <protection hidden="1"/>
    </xf>
    <xf numFmtId="165" fontId="11" fillId="31" borderId="53" xfId="1" applyNumberFormat="1" applyFont="1" applyFill="1" applyBorder="1" applyAlignment="1" applyProtection="1">
      <alignment horizontal="center" vertical="center"/>
      <protection hidden="1"/>
    </xf>
    <xf numFmtId="165" fontId="20" fillId="10" borderId="26" xfId="1" applyNumberFormat="1" applyFont="1" applyFill="1" applyBorder="1" applyAlignment="1" applyProtection="1">
      <alignment horizontal="center" vertical="center" wrapText="1"/>
      <protection hidden="1"/>
    </xf>
    <xf numFmtId="165" fontId="20" fillId="10" borderId="24" xfId="1" applyNumberFormat="1" applyFont="1" applyFill="1" applyBorder="1" applyAlignment="1" applyProtection="1">
      <alignment horizontal="center" vertical="center" wrapText="1"/>
      <protection hidden="1"/>
    </xf>
    <xf numFmtId="165" fontId="20" fillId="10" borderId="10" xfId="1" applyNumberFormat="1" applyFont="1" applyFill="1" applyBorder="1" applyAlignment="1" applyProtection="1">
      <alignment horizontal="center" vertical="center" wrapText="1"/>
      <protection hidden="1"/>
    </xf>
    <xf numFmtId="0" fontId="22" fillId="15" borderId="47" xfId="0" applyFont="1" applyFill="1" applyBorder="1" applyAlignment="1" applyProtection="1">
      <alignment horizontal="center" vertical="center"/>
      <protection hidden="1"/>
    </xf>
    <xf numFmtId="0" fontId="22" fillId="15" borderId="48" xfId="0" applyFont="1" applyFill="1" applyBorder="1" applyAlignment="1" applyProtection="1">
      <alignment horizontal="center" vertical="center"/>
      <protection hidden="1"/>
    </xf>
    <xf numFmtId="0" fontId="17" fillId="30" borderId="9" xfId="2" applyFont="1" applyFill="1" applyBorder="1" applyAlignment="1" applyProtection="1">
      <alignment horizontal="center"/>
      <protection hidden="1"/>
    </xf>
    <xf numFmtId="0" fontId="17" fillId="30" borderId="0" xfId="2" applyFont="1" applyFill="1" applyAlignment="1" applyProtection="1">
      <alignment horizontal="center"/>
      <protection hidden="1"/>
    </xf>
    <xf numFmtId="0" fontId="17" fillId="30" borderId="10" xfId="2" applyFont="1" applyFill="1" applyBorder="1" applyAlignment="1" applyProtection="1">
      <alignment horizontal="center"/>
      <protection hidden="1"/>
    </xf>
    <xf numFmtId="0" fontId="25" fillId="33" borderId="9" xfId="2" applyFont="1" applyFill="1" applyBorder="1" applyAlignment="1" applyProtection="1">
      <alignment horizontal="center" vertical="center"/>
      <protection hidden="1"/>
    </xf>
    <xf numFmtId="0" fontId="25" fillId="33" borderId="0" xfId="2" applyFont="1" applyFill="1" applyAlignment="1" applyProtection="1">
      <alignment horizontal="center" vertical="center"/>
      <protection hidden="1"/>
    </xf>
    <xf numFmtId="0" fontId="25" fillId="33" borderId="10" xfId="2" applyFont="1" applyFill="1" applyBorder="1" applyAlignment="1" applyProtection="1">
      <alignment horizontal="center" vertical="center"/>
      <protection hidden="1"/>
    </xf>
    <xf numFmtId="0" fontId="29" fillId="27" borderId="23" xfId="2" applyFont="1" applyFill="1" applyBorder="1" applyAlignment="1" applyProtection="1">
      <alignment horizontal="center" vertical="center" wrapText="1"/>
      <protection hidden="1"/>
    </xf>
    <xf numFmtId="0" fontId="29" fillId="27" borderId="24" xfId="2" applyFont="1" applyFill="1" applyBorder="1" applyAlignment="1" applyProtection="1">
      <alignment horizontal="center" vertical="center" wrapText="1"/>
      <protection hidden="1"/>
    </xf>
    <xf numFmtId="0" fontId="29" fillId="27" borderId="0" xfId="2" applyFont="1" applyFill="1" applyAlignment="1" applyProtection="1">
      <alignment horizontal="center" vertical="center" wrapText="1"/>
      <protection hidden="1"/>
    </xf>
    <xf numFmtId="0" fontId="29" fillId="27" borderId="10" xfId="2" applyFont="1" applyFill="1" applyBorder="1" applyAlignment="1" applyProtection="1">
      <alignment horizontal="center" vertical="center" wrapText="1"/>
      <protection hidden="1"/>
    </xf>
    <xf numFmtId="165" fontId="11" fillId="31" borderId="7" xfId="1" applyNumberFormat="1" applyFont="1" applyFill="1" applyBorder="1" applyAlignment="1" applyProtection="1">
      <alignment horizontal="center" vertical="center"/>
      <protection hidden="1"/>
    </xf>
    <xf numFmtId="165" fontId="11" fillId="31" borderId="9" xfId="1" applyNumberFormat="1" applyFont="1" applyFill="1" applyBorder="1" applyAlignment="1" applyProtection="1">
      <alignment horizontal="center" vertical="center"/>
      <protection hidden="1"/>
    </xf>
    <xf numFmtId="165" fontId="11" fillId="31" borderId="0" xfId="1" applyNumberFormat="1" applyFont="1" applyFill="1" applyBorder="1" applyAlignment="1" applyProtection="1">
      <alignment horizontal="center" vertical="center"/>
      <protection hidden="1"/>
    </xf>
    <xf numFmtId="165" fontId="11" fillId="31" borderId="10" xfId="1" applyNumberFormat="1" applyFont="1" applyFill="1" applyBorder="1" applyAlignment="1" applyProtection="1">
      <alignment horizontal="center" vertical="center"/>
      <protection hidden="1"/>
    </xf>
    <xf numFmtId="0" fontId="29" fillId="27" borderId="7" xfId="2" applyFont="1" applyFill="1" applyBorder="1" applyAlignment="1" applyProtection="1">
      <alignment horizontal="center" vertical="center" wrapText="1"/>
      <protection hidden="1"/>
    </xf>
    <xf numFmtId="0" fontId="29" fillId="27" borderId="8" xfId="2" applyFont="1" applyFill="1" applyBorder="1" applyAlignment="1" applyProtection="1">
      <alignment horizontal="center" vertical="center" wrapText="1"/>
      <protection hidden="1"/>
    </xf>
    <xf numFmtId="0" fontId="12" fillId="30" borderId="1" xfId="2" applyFont="1" applyFill="1" applyBorder="1" applyAlignment="1" applyProtection="1">
      <alignment horizontal="center" vertical="center"/>
      <protection hidden="1"/>
    </xf>
    <xf numFmtId="0" fontId="12" fillId="30" borderId="2" xfId="2" applyFont="1" applyFill="1" applyBorder="1" applyAlignment="1" applyProtection="1">
      <alignment horizontal="center" vertical="center"/>
      <protection hidden="1"/>
    </xf>
    <xf numFmtId="0" fontId="12" fillId="30" borderId="4" xfId="2" applyFont="1" applyFill="1" applyBorder="1" applyAlignment="1" applyProtection="1">
      <alignment horizontal="center" vertical="center"/>
      <protection hidden="1"/>
    </xf>
    <xf numFmtId="0" fontId="12" fillId="30" borderId="5" xfId="2" applyFont="1" applyFill="1" applyBorder="1" applyAlignment="1" applyProtection="1">
      <alignment horizontal="center" vertical="center"/>
      <protection hidden="1"/>
    </xf>
    <xf numFmtId="0" fontId="15" fillId="30" borderId="1" xfId="0" quotePrefix="1" applyFont="1" applyFill="1" applyBorder="1" applyAlignment="1" applyProtection="1">
      <alignment horizontal="center" vertical="center" wrapText="1"/>
      <protection hidden="1"/>
    </xf>
    <xf numFmtId="0" fontId="15" fillId="30" borderId="3" xfId="0" quotePrefix="1" applyFont="1" applyFill="1" applyBorder="1" applyAlignment="1" applyProtection="1">
      <alignment horizontal="center" vertical="center" wrapText="1"/>
      <protection hidden="1"/>
    </xf>
    <xf numFmtId="0" fontId="15" fillId="30" borderId="2" xfId="0" quotePrefix="1" applyFont="1" applyFill="1" applyBorder="1" applyAlignment="1" applyProtection="1">
      <alignment horizontal="center" vertical="center" wrapText="1"/>
      <protection hidden="1"/>
    </xf>
    <xf numFmtId="0" fontId="15" fillId="30" borderId="6" xfId="0" quotePrefix="1" applyFont="1" applyFill="1" applyBorder="1" applyAlignment="1" applyProtection="1">
      <alignment horizontal="center" vertical="center" wrapText="1"/>
      <protection hidden="1"/>
    </xf>
    <xf numFmtId="0" fontId="15" fillId="30" borderId="7" xfId="0" quotePrefix="1" applyFont="1" applyFill="1" applyBorder="1" applyAlignment="1" applyProtection="1">
      <alignment horizontal="center" vertical="center" wrapText="1"/>
      <protection hidden="1"/>
    </xf>
    <xf numFmtId="0" fontId="15" fillId="30" borderId="8" xfId="0" quotePrefix="1" applyFont="1" applyFill="1" applyBorder="1" applyAlignment="1" applyProtection="1">
      <alignment horizontal="center" vertical="center" wrapText="1"/>
      <protection hidden="1"/>
    </xf>
    <xf numFmtId="0" fontId="15" fillId="30" borderId="9" xfId="0" quotePrefix="1" applyFont="1" applyFill="1" applyBorder="1" applyAlignment="1" applyProtection="1">
      <alignment horizontal="center" vertical="center" wrapText="1"/>
      <protection hidden="1"/>
    </xf>
    <xf numFmtId="0" fontId="15" fillId="30" borderId="0" xfId="0" quotePrefix="1" applyFont="1" applyFill="1" applyAlignment="1" applyProtection="1">
      <alignment horizontal="center" vertical="center" wrapText="1"/>
      <protection hidden="1"/>
    </xf>
    <xf numFmtId="0" fontId="15" fillId="30" borderId="10" xfId="0" quotePrefix="1" applyFont="1" applyFill="1" applyBorder="1" applyAlignment="1" applyProtection="1">
      <alignment horizontal="center" vertical="center" wrapText="1"/>
      <protection hidden="1"/>
    </xf>
    <xf numFmtId="0" fontId="16" fillId="30" borderId="9" xfId="2" applyFont="1" applyFill="1" applyBorder="1" applyAlignment="1" applyProtection="1">
      <alignment horizontal="center" vertical="center"/>
      <protection hidden="1"/>
    </xf>
    <xf numFmtId="0" fontId="16" fillId="30" borderId="10" xfId="2" applyFont="1" applyFill="1" applyBorder="1" applyAlignment="1" applyProtection="1">
      <alignment horizontal="center" vertical="center"/>
      <protection hidden="1"/>
    </xf>
    <xf numFmtId="0" fontId="16" fillId="30" borderId="9" xfId="2" applyFont="1" applyFill="1" applyBorder="1" applyAlignment="1" applyProtection="1">
      <alignment horizontal="center"/>
      <protection hidden="1"/>
    </xf>
    <xf numFmtId="0" fontId="16" fillId="30" borderId="0" xfId="2" applyFont="1" applyFill="1" applyAlignment="1" applyProtection="1">
      <alignment horizontal="center"/>
      <protection hidden="1"/>
    </xf>
    <xf numFmtId="0" fontId="16" fillId="30" borderId="10" xfId="2" applyFont="1" applyFill="1" applyBorder="1" applyAlignment="1" applyProtection="1">
      <alignment horizontal="center"/>
      <protection hidden="1"/>
    </xf>
    <xf numFmtId="0" fontId="37" fillId="33" borderId="0" xfId="3" applyFont="1" applyFill="1" applyBorder="1" applyAlignment="1">
      <alignment horizontal="center" vertical="center"/>
    </xf>
    <xf numFmtId="0" fontId="37" fillId="0" borderId="9" xfId="3" applyFont="1" applyBorder="1" applyAlignment="1">
      <alignment horizontal="center" vertical="center"/>
    </xf>
    <xf numFmtId="0" fontId="37" fillId="0" borderId="0" xfId="3" applyFont="1" applyBorder="1" applyAlignment="1">
      <alignment horizontal="center" vertical="center"/>
    </xf>
    <xf numFmtId="165" fontId="11" fillId="31" borderId="20" xfId="1" applyNumberFormat="1" applyFont="1" applyFill="1" applyBorder="1" applyAlignment="1" applyProtection="1">
      <alignment horizontal="center" vertical="center"/>
      <protection hidden="1"/>
    </xf>
    <xf numFmtId="165" fontId="11" fillId="31" borderId="27" xfId="1" applyNumberFormat="1" applyFont="1" applyFill="1" applyBorder="1" applyAlignment="1" applyProtection="1">
      <alignment horizontal="center" vertical="center"/>
      <protection hidden="1"/>
    </xf>
    <xf numFmtId="0" fontId="14" fillId="28" borderId="0" xfId="0" quotePrefix="1" applyFont="1" applyFill="1" applyAlignment="1" applyProtection="1">
      <alignment horizontal="center" vertical="center" wrapText="1"/>
      <protection hidden="1"/>
    </xf>
    <xf numFmtId="0" fontId="12" fillId="30" borderId="3" xfId="2" applyFont="1" applyFill="1" applyBorder="1" applyAlignment="1" applyProtection="1">
      <alignment horizontal="center" vertical="center"/>
      <protection hidden="1"/>
    </xf>
    <xf numFmtId="0" fontId="12" fillId="30" borderId="32" xfId="2" applyFont="1" applyFill="1" applyBorder="1" applyAlignment="1" applyProtection="1">
      <alignment horizontal="center" vertical="center"/>
      <protection hidden="1"/>
    </xf>
    <xf numFmtId="0" fontId="16" fillId="30" borderId="0" xfId="2" applyFont="1" applyFill="1" applyAlignment="1" applyProtection="1">
      <alignment horizontal="center" vertical="center"/>
      <protection hidden="1"/>
    </xf>
    <xf numFmtId="0" fontId="89" fillId="0" borderId="13" xfId="6" applyFont="1" applyBorder="1" applyAlignment="1">
      <alignment horizontal="center" vertical="center" wrapText="1"/>
    </xf>
    <xf numFmtId="0" fontId="89" fillId="0" borderId="14" xfId="6" applyFont="1" applyBorder="1" applyAlignment="1">
      <alignment horizontal="center" vertical="center" wrapText="1"/>
    </xf>
    <xf numFmtId="0" fontId="89" fillId="0" borderId="37" xfId="6" applyFont="1" applyBorder="1" applyAlignment="1">
      <alignment horizontal="center" vertical="center" wrapText="1"/>
    </xf>
    <xf numFmtId="0" fontId="89" fillId="0" borderId="39" xfId="6" applyFont="1" applyBorder="1" applyAlignment="1">
      <alignment horizontal="center" vertical="center" wrapText="1"/>
    </xf>
    <xf numFmtId="0" fontId="89" fillId="0" borderId="14" xfId="6" applyFont="1" applyBorder="1" applyAlignment="1">
      <alignment horizontal="center" vertical="center"/>
    </xf>
    <xf numFmtId="0" fontId="89" fillId="0" borderId="13" xfId="6" applyFont="1" applyBorder="1" applyAlignment="1">
      <alignment horizontal="center" vertical="center"/>
    </xf>
    <xf numFmtId="0" fontId="88" fillId="0" borderId="64" xfId="6" applyFont="1" applyBorder="1" applyAlignment="1">
      <alignment horizontal="center" vertical="center"/>
    </xf>
    <xf numFmtId="0" fontId="88" fillId="0" borderId="66" xfId="6" applyFont="1" applyBorder="1" applyAlignment="1">
      <alignment horizontal="center" vertical="center"/>
    </xf>
    <xf numFmtId="0" fontId="89" fillId="0" borderId="47" xfId="6" applyFont="1" applyBorder="1" applyAlignment="1">
      <alignment horizontal="center" vertical="center" wrapText="1"/>
    </xf>
    <xf numFmtId="0" fontId="89" fillId="0" borderId="36" xfId="6" applyFont="1" applyBorder="1" applyAlignment="1">
      <alignment horizontal="center" vertical="center"/>
    </xf>
    <xf numFmtId="0" fontId="89" fillId="0" borderId="37" xfId="6" applyFont="1" applyBorder="1" applyAlignment="1">
      <alignment horizontal="center" vertical="center"/>
    </xf>
    <xf numFmtId="0" fontId="89" fillId="0" borderId="39" xfId="6" applyFont="1" applyBorder="1" applyAlignment="1">
      <alignment horizontal="center" vertical="center"/>
    </xf>
    <xf numFmtId="0" fontId="88" fillId="0" borderId="72" xfId="6" applyFont="1" applyBorder="1" applyAlignment="1">
      <alignment horizontal="center" vertical="center"/>
    </xf>
    <xf numFmtId="0" fontId="88" fillId="0" borderId="73" xfId="6" applyFont="1" applyBorder="1" applyAlignment="1">
      <alignment horizontal="center" vertical="center"/>
    </xf>
    <xf numFmtId="0" fontId="89" fillId="0" borderId="74" xfId="6" applyFont="1" applyBorder="1" applyAlignment="1">
      <alignment horizontal="center" vertical="center"/>
    </xf>
    <xf numFmtId="0" fontId="89" fillId="0" borderId="75" xfId="6" applyFont="1" applyBorder="1" applyAlignment="1">
      <alignment horizontal="center" vertical="center"/>
    </xf>
    <xf numFmtId="0" fontId="89" fillId="0" borderId="71" xfId="6" applyFont="1" applyBorder="1" applyAlignment="1">
      <alignment horizontal="center" vertical="center" wrapText="1"/>
    </xf>
    <xf numFmtId="0" fontId="89" fillId="0" borderId="16" xfId="6" applyFont="1" applyBorder="1" applyAlignment="1">
      <alignment horizontal="center" vertical="center" wrapText="1"/>
    </xf>
    <xf numFmtId="0" fontId="89" fillId="0" borderId="28" xfId="6" applyFont="1" applyBorder="1" applyAlignment="1">
      <alignment horizontal="center" vertical="center" wrapText="1"/>
    </xf>
    <xf numFmtId="0" fontId="89" fillId="0" borderId="30" xfId="6" applyFont="1" applyBorder="1" applyAlignment="1">
      <alignment horizontal="center" vertical="center" wrapText="1"/>
    </xf>
    <xf numFmtId="0" fontId="88" fillId="0" borderId="1" xfId="6" applyFont="1" applyBorder="1" applyAlignment="1">
      <alignment horizontal="center" vertical="center" wrapText="1"/>
    </xf>
    <xf numFmtId="0" fontId="88" fillId="0" borderId="2" xfId="6" applyFont="1" applyBorder="1" applyAlignment="1">
      <alignment horizontal="center" vertical="center" wrapText="1"/>
    </xf>
    <xf numFmtId="0" fontId="88" fillId="0" borderId="9" xfId="6" applyFont="1" applyBorder="1" applyAlignment="1">
      <alignment horizontal="center" vertical="center" wrapText="1"/>
    </xf>
    <xf numFmtId="0" fontId="88" fillId="0" borderId="10" xfId="6" applyFont="1" applyBorder="1" applyAlignment="1">
      <alignment horizontal="center" vertical="center" wrapText="1"/>
    </xf>
    <xf numFmtId="0" fontId="93" fillId="0" borderId="64" xfId="0" applyFont="1" applyBorder="1" applyAlignment="1">
      <alignment horizontal="center" vertical="center" wrapText="1"/>
    </xf>
    <xf numFmtId="0" fontId="93" fillId="0" borderId="65" xfId="0" applyFont="1" applyBorder="1" applyAlignment="1">
      <alignment horizontal="center" vertical="center" wrapText="1"/>
    </xf>
    <xf numFmtId="0" fontId="93" fillId="0" borderId="66" xfId="0" applyFont="1" applyBorder="1" applyAlignment="1">
      <alignment horizontal="center" vertical="center" wrapText="1"/>
    </xf>
    <xf numFmtId="0" fontId="76" fillId="46" borderId="76" xfId="0" applyFont="1" applyFill="1" applyBorder="1" applyAlignment="1">
      <alignment horizontal="center" vertical="top" wrapText="1"/>
    </xf>
    <xf numFmtId="0" fontId="76" fillId="46" borderId="77" xfId="0" applyFont="1" applyFill="1" applyBorder="1" applyAlignment="1">
      <alignment horizontal="center" vertical="top" wrapText="1"/>
    </xf>
    <xf numFmtId="0" fontId="76" fillId="46" borderId="78" xfId="0" applyFont="1" applyFill="1" applyBorder="1" applyAlignment="1">
      <alignment horizontal="center" vertical="top" wrapText="1"/>
    </xf>
    <xf numFmtId="0" fontId="52" fillId="0" borderId="80" xfId="0" applyFont="1" applyBorder="1" applyAlignment="1">
      <alignment horizontal="left" vertical="top" wrapText="1"/>
    </xf>
    <xf numFmtId="0" fontId="52" fillId="0" borderId="81" xfId="0" applyFont="1" applyBorder="1" applyAlignment="1">
      <alignment horizontal="left" vertical="top" wrapText="1"/>
    </xf>
    <xf numFmtId="0" fontId="52" fillId="0" borderId="82" xfId="0" applyFont="1" applyBorder="1" applyAlignment="1">
      <alignment horizontal="left" vertical="top" wrapText="1"/>
    </xf>
    <xf numFmtId="0" fontId="52" fillId="0" borderId="83" xfId="0" applyFont="1" applyBorder="1" applyAlignment="1">
      <alignment horizontal="left" vertical="top" wrapText="1"/>
    </xf>
    <xf numFmtId="0" fontId="76" fillId="46" borderId="82" xfId="0" applyFont="1" applyFill="1" applyBorder="1" applyAlignment="1">
      <alignment horizontal="center" vertical="top" wrapText="1"/>
    </xf>
    <xf numFmtId="0" fontId="76" fillId="46" borderId="86" xfId="0" applyFont="1" applyFill="1" applyBorder="1" applyAlignment="1">
      <alignment horizontal="center" vertical="top" wrapText="1"/>
    </xf>
    <xf numFmtId="0" fontId="76" fillId="46" borderId="83" xfId="0" applyFont="1" applyFill="1" applyBorder="1" applyAlignment="1">
      <alignment horizontal="center" vertical="top" wrapText="1"/>
    </xf>
  </cellXfs>
  <cellStyles count="8">
    <cellStyle name="Currency" xfId="4" builtinId="4"/>
    <cellStyle name="Hyperlink" xfId="7" builtinId="8"/>
    <cellStyle name="Hyperlink 2" xfId="3" xr:uid="{C6F4FC6A-00C8-440F-B6C1-665F0147143D}"/>
    <cellStyle name="Normal" xfId="0" builtinId="0"/>
    <cellStyle name="Normal 2" xfId="6" xr:uid="{7451405B-C3D3-4981-A9BF-3E84A41F5DDA}"/>
    <cellStyle name="Normal 3" xfId="2" xr:uid="{44DD2B2D-06A6-4DCF-856E-A84917E48BBC}"/>
    <cellStyle name="Normal_Inputs" xfId="5" xr:uid="{8F3BD97A-7F6C-416A-9B9B-78CD2170EFBE}"/>
    <cellStyle name="Percent" xfId="1" builtinId="5"/>
  </cellStyles>
  <dxfs count="250">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FF0000"/>
      </font>
    </dxf>
    <dxf>
      <font>
        <color rgb="FFFF0000"/>
      </font>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FF0000"/>
      </font>
    </dxf>
    <dxf>
      <font>
        <color rgb="FFFF0000"/>
      </font>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FF0000"/>
      </font>
    </dxf>
    <dxf>
      <font>
        <color rgb="FFFF0000"/>
      </font>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s>
  <tableStyles count="1" defaultTableStyle="TableStyleMedium2" defaultPivotStyle="PivotStyleLight16">
    <tableStyle name="Invisible" pivot="0" table="0" count="0" xr9:uid="{9632704B-170A-4250-AD74-EF2152BA11CB}"/>
  </tableStyles>
  <colors>
    <mruColors>
      <color rgb="FF12919C"/>
      <color rgb="FFFC7D20"/>
      <color rgb="FF0B3040"/>
      <color rgb="FF0E2841"/>
      <color rgb="FFFFB612"/>
      <color rgb="FF58595B"/>
      <color rgb="FF717374"/>
      <color rgb="FF275317"/>
      <color rgb="FF0C769E"/>
      <color rgb="FF0D351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eetMetadata" Target="metadata.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3.jpeg"/></Relationships>
</file>

<file path=xl/drawings/_rels/drawing4.xml.rels><?xml version="1.0" encoding="UTF-8" standalone="yes"?>
<Relationships xmlns="http://schemas.openxmlformats.org/package/2006/relationships"><Relationship Id="rId3" Type="http://schemas.openxmlformats.org/officeDocument/2006/relationships/image" Target="../media/image5.png"/><Relationship Id="rId2" Type="http://schemas.microsoft.com/office/2007/relationships/hdphoto" Target="../media/hdphoto1.wdp"/><Relationship Id="rId1" Type="http://schemas.openxmlformats.org/officeDocument/2006/relationships/image" Target="../media/image4.png"/></Relationships>
</file>

<file path=xl/drawings/_rels/drawing5.xml.rels><?xml version="1.0" encoding="UTF-8" standalone="yes"?>
<Relationships xmlns="http://schemas.openxmlformats.org/package/2006/relationships"><Relationship Id="rId3" Type="http://schemas.openxmlformats.org/officeDocument/2006/relationships/image" Target="../media/image5.png"/><Relationship Id="rId2" Type="http://schemas.microsoft.com/office/2007/relationships/hdphoto" Target="../media/hdphoto1.wdp"/><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21</xdr:col>
      <xdr:colOff>152400</xdr:colOff>
      <xdr:row>9</xdr:row>
      <xdr:rowOff>28575</xdr:rowOff>
    </xdr:from>
    <xdr:to>
      <xdr:col>21</xdr:col>
      <xdr:colOff>1333500</xdr:colOff>
      <xdr:row>10</xdr:row>
      <xdr:rowOff>95250</xdr:rowOff>
    </xdr:to>
    <xdr:sp macro="[0]!ResetNQM" textlink="">
      <xdr:nvSpPr>
        <xdr:cNvPr id="3" name="Flowchart: Alternate Process 2">
          <a:extLst>
            <a:ext uri="{FF2B5EF4-FFF2-40B4-BE49-F238E27FC236}">
              <a16:creationId xmlns:a16="http://schemas.microsoft.com/office/drawing/2014/main" id="{0157EAE7-6D43-4C2A-B2F2-CB6756A5BB71}"/>
            </a:ext>
          </a:extLst>
        </xdr:cNvPr>
        <xdr:cNvSpPr/>
      </xdr:nvSpPr>
      <xdr:spPr>
        <a:xfrm>
          <a:off x="14792325" y="1962150"/>
          <a:ext cx="1181100" cy="266700"/>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editAs="oneCell">
    <xdr:from>
      <xdr:col>8</xdr:col>
      <xdr:colOff>142875</xdr:colOff>
      <xdr:row>0</xdr:row>
      <xdr:rowOff>114300</xdr:rowOff>
    </xdr:from>
    <xdr:to>
      <xdr:col>11</xdr:col>
      <xdr:colOff>41462</xdr:colOff>
      <xdr:row>4</xdr:row>
      <xdr:rowOff>132510</xdr:rowOff>
    </xdr:to>
    <xdr:pic>
      <xdr:nvPicPr>
        <xdr:cNvPr id="8" name="Picture 7">
          <a:extLst>
            <a:ext uri="{FF2B5EF4-FFF2-40B4-BE49-F238E27FC236}">
              <a16:creationId xmlns:a16="http://schemas.microsoft.com/office/drawing/2014/main" id="{3513C406-B160-4A72-B867-5E8524930D5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800850" y="114300"/>
          <a:ext cx="1736912" cy="89451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19</xdr:col>
      <xdr:colOff>142876</xdr:colOff>
      <xdr:row>7</xdr:row>
      <xdr:rowOff>58834</xdr:rowOff>
    </xdr:from>
    <xdr:to>
      <xdr:col>19</xdr:col>
      <xdr:colOff>1247776</xdr:colOff>
      <xdr:row>8</xdr:row>
      <xdr:rowOff>152400</xdr:rowOff>
    </xdr:to>
    <xdr:sp macro="[0]!ResetFunction_DSCR" textlink="">
      <xdr:nvSpPr>
        <xdr:cNvPr id="3" name="Flowchart: Alternate Process 2">
          <a:extLst>
            <a:ext uri="{FF2B5EF4-FFF2-40B4-BE49-F238E27FC236}">
              <a16:creationId xmlns:a16="http://schemas.microsoft.com/office/drawing/2014/main" id="{DEB42E6C-A9F2-4967-92CD-011C16037AF2}"/>
            </a:ext>
          </a:extLst>
        </xdr:cNvPr>
        <xdr:cNvSpPr/>
      </xdr:nvSpPr>
      <xdr:spPr>
        <a:xfrm>
          <a:off x="15392401" y="1592359"/>
          <a:ext cx="1104900" cy="293591"/>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editAs="oneCell">
    <xdr:from>
      <xdr:col>8</xdr:col>
      <xdr:colOff>283368</xdr:colOff>
      <xdr:row>0</xdr:row>
      <xdr:rowOff>202408</xdr:rowOff>
    </xdr:from>
    <xdr:to>
      <xdr:col>10</xdr:col>
      <xdr:colOff>393701</xdr:colOff>
      <xdr:row>4</xdr:row>
      <xdr:rowOff>72231</xdr:rowOff>
    </xdr:to>
    <xdr:pic>
      <xdr:nvPicPr>
        <xdr:cNvPr id="4" name="Picture 3">
          <a:extLst>
            <a:ext uri="{FF2B5EF4-FFF2-40B4-BE49-F238E27FC236}">
              <a16:creationId xmlns:a16="http://schemas.microsoft.com/office/drawing/2014/main" id="{FFDE2BF1-6373-418E-8678-36F96C13C70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750843" y="202408"/>
          <a:ext cx="1288258" cy="742948"/>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15</xdr:col>
      <xdr:colOff>396875</xdr:colOff>
      <xdr:row>9</xdr:row>
      <xdr:rowOff>7408</xdr:rowOff>
    </xdr:from>
    <xdr:to>
      <xdr:col>15</xdr:col>
      <xdr:colOff>1577975</xdr:colOff>
      <xdr:row>10</xdr:row>
      <xdr:rowOff>74083</xdr:rowOff>
    </xdr:to>
    <xdr:sp macro="[0]!ResetNQM" textlink="">
      <xdr:nvSpPr>
        <xdr:cNvPr id="2" name="Flowchart: Alternate Process 1">
          <a:extLst>
            <a:ext uri="{FF2B5EF4-FFF2-40B4-BE49-F238E27FC236}">
              <a16:creationId xmlns:a16="http://schemas.microsoft.com/office/drawing/2014/main" id="{9FB54CAA-30D1-4DA2-BF72-6293DC41F7CD}"/>
            </a:ext>
          </a:extLst>
        </xdr:cNvPr>
        <xdr:cNvSpPr/>
      </xdr:nvSpPr>
      <xdr:spPr>
        <a:xfrm>
          <a:off x="14398625" y="1940983"/>
          <a:ext cx="1181100" cy="266700"/>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editAs="oneCell">
    <xdr:from>
      <xdr:col>6</xdr:col>
      <xdr:colOff>352425</xdr:colOff>
      <xdr:row>0</xdr:row>
      <xdr:rowOff>85725</xdr:rowOff>
    </xdr:from>
    <xdr:to>
      <xdr:col>7</xdr:col>
      <xdr:colOff>743412</xdr:colOff>
      <xdr:row>4</xdr:row>
      <xdr:rowOff>133350</xdr:rowOff>
    </xdr:to>
    <xdr:pic>
      <xdr:nvPicPr>
        <xdr:cNvPr id="4" name="Picture 3">
          <a:extLst>
            <a:ext uri="{FF2B5EF4-FFF2-40B4-BE49-F238E27FC236}">
              <a16:creationId xmlns:a16="http://schemas.microsoft.com/office/drawing/2014/main" id="{26D995A7-6267-42FB-98D4-AF481F22271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505450" y="85725"/>
          <a:ext cx="1572087" cy="92392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19</xdr:col>
      <xdr:colOff>1035327</xdr:colOff>
      <xdr:row>2</xdr:row>
      <xdr:rowOff>33130</xdr:rowOff>
    </xdr:from>
    <xdr:to>
      <xdr:col>21</xdr:col>
      <xdr:colOff>231914</xdr:colOff>
      <xdr:row>4</xdr:row>
      <xdr:rowOff>75784</xdr:rowOff>
    </xdr:to>
    <xdr:sp macro="" textlink="">
      <xdr:nvSpPr>
        <xdr:cNvPr id="2" name="Flowchart: Alternate Process 1">
          <a:extLst>
            <a:ext uri="{FF2B5EF4-FFF2-40B4-BE49-F238E27FC236}">
              <a16:creationId xmlns:a16="http://schemas.microsoft.com/office/drawing/2014/main" id="{6BB94BD2-9308-4DF7-8877-AE24DF43F06E}"/>
            </a:ext>
          </a:extLst>
        </xdr:cNvPr>
        <xdr:cNvSpPr/>
      </xdr:nvSpPr>
      <xdr:spPr>
        <a:xfrm>
          <a:off x="13084452" y="471280"/>
          <a:ext cx="1587362" cy="480804"/>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800" b="1" cap="none" spc="0">
              <a:ln w="0"/>
              <a:solidFill>
                <a:schemeClr val="tx1"/>
              </a:solidFill>
              <a:effectLst>
                <a:outerShdw blurRad="38100" dist="19050" dir="2700000" algn="tl" rotWithShape="0">
                  <a:schemeClr val="dk1">
                    <a:alpha val="40000"/>
                  </a:schemeClr>
                </a:outerShdw>
              </a:effectLst>
            </a:rPr>
            <a:t>Lock Request</a:t>
          </a:r>
          <a:endParaRPr lang="en-US" sz="1100" b="0" cap="none" spc="0">
            <a:ln w="0"/>
            <a:solidFill>
              <a:schemeClr val="tx1"/>
            </a:solidFill>
            <a:effectLst>
              <a:outerShdw blurRad="38100" dist="19050" dir="2700000" algn="tl" rotWithShape="0">
                <a:schemeClr val="dk1">
                  <a:alpha val="40000"/>
                </a:schemeClr>
              </a:outerShdw>
            </a:effectLst>
          </a:endParaRPr>
        </a:p>
      </xdr:txBody>
    </xdr:sp>
    <xdr:clientData/>
  </xdr:twoCellAnchor>
  <xdr:twoCellAnchor>
    <xdr:from>
      <xdr:col>21</xdr:col>
      <xdr:colOff>260537</xdr:colOff>
      <xdr:row>8</xdr:row>
      <xdr:rowOff>182658</xdr:rowOff>
    </xdr:from>
    <xdr:to>
      <xdr:col>21</xdr:col>
      <xdr:colOff>1013012</xdr:colOff>
      <xdr:row>10</xdr:row>
      <xdr:rowOff>135032</xdr:rowOff>
    </xdr:to>
    <xdr:sp macro="" textlink="">
      <xdr:nvSpPr>
        <xdr:cNvPr id="3" name="Flowchart: Alternate Process 2">
          <a:extLst>
            <a:ext uri="{FF2B5EF4-FFF2-40B4-BE49-F238E27FC236}">
              <a16:creationId xmlns:a16="http://schemas.microsoft.com/office/drawing/2014/main" id="{242E9E98-1739-4F44-BAEE-8760D604CE74}"/>
            </a:ext>
          </a:extLst>
        </xdr:cNvPr>
        <xdr:cNvSpPr/>
      </xdr:nvSpPr>
      <xdr:spPr>
        <a:xfrm>
          <a:off x="14700437" y="1916208"/>
          <a:ext cx="752475" cy="352424"/>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xdr:from>
      <xdr:col>21</xdr:col>
      <xdr:colOff>260537</xdr:colOff>
      <xdr:row>8</xdr:row>
      <xdr:rowOff>182658</xdr:rowOff>
    </xdr:from>
    <xdr:to>
      <xdr:col>21</xdr:col>
      <xdr:colOff>1013012</xdr:colOff>
      <xdr:row>10</xdr:row>
      <xdr:rowOff>135032</xdr:rowOff>
    </xdr:to>
    <xdr:sp macro="" textlink="">
      <xdr:nvSpPr>
        <xdr:cNvPr id="5" name="Flowchart: Alternate Process 4">
          <a:extLst>
            <a:ext uri="{FF2B5EF4-FFF2-40B4-BE49-F238E27FC236}">
              <a16:creationId xmlns:a16="http://schemas.microsoft.com/office/drawing/2014/main" id="{8D4C9A74-FF31-4298-87C6-FE1464163090}"/>
            </a:ext>
          </a:extLst>
        </xdr:cNvPr>
        <xdr:cNvSpPr/>
      </xdr:nvSpPr>
      <xdr:spPr>
        <a:xfrm>
          <a:off x="14700437" y="1916208"/>
          <a:ext cx="752475" cy="352424"/>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xdr:from>
      <xdr:col>21</xdr:col>
      <xdr:colOff>260537</xdr:colOff>
      <xdr:row>8</xdr:row>
      <xdr:rowOff>182658</xdr:rowOff>
    </xdr:from>
    <xdr:to>
      <xdr:col>21</xdr:col>
      <xdr:colOff>1013012</xdr:colOff>
      <xdr:row>10</xdr:row>
      <xdr:rowOff>135032</xdr:rowOff>
    </xdr:to>
    <xdr:sp macro="" textlink="">
      <xdr:nvSpPr>
        <xdr:cNvPr id="6" name="Flowchart: Alternate Process 5">
          <a:extLst>
            <a:ext uri="{FF2B5EF4-FFF2-40B4-BE49-F238E27FC236}">
              <a16:creationId xmlns:a16="http://schemas.microsoft.com/office/drawing/2014/main" id="{42956500-2505-404C-8C02-FEBCA6ECCF2A}"/>
            </a:ext>
          </a:extLst>
        </xdr:cNvPr>
        <xdr:cNvSpPr/>
      </xdr:nvSpPr>
      <xdr:spPr>
        <a:xfrm>
          <a:off x="14700437" y="1916208"/>
          <a:ext cx="752475" cy="352424"/>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xdr:from>
      <xdr:col>0</xdr:col>
      <xdr:colOff>80962</xdr:colOff>
      <xdr:row>0</xdr:row>
      <xdr:rowOff>92868</xdr:rowOff>
    </xdr:from>
    <xdr:to>
      <xdr:col>5</xdr:col>
      <xdr:colOff>76200</xdr:colOff>
      <xdr:row>4</xdr:row>
      <xdr:rowOff>140493</xdr:rowOff>
    </xdr:to>
    <xdr:sp macro="" textlink="">
      <xdr:nvSpPr>
        <xdr:cNvPr id="7" name="Cube 6">
          <a:extLst>
            <a:ext uri="{FF2B5EF4-FFF2-40B4-BE49-F238E27FC236}">
              <a16:creationId xmlns:a16="http://schemas.microsoft.com/office/drawing/2014/main" id="{162E0971-B06B-467A-8741-E43F3249CDD4}"/>
            </a:ext>
          </a:extLst>
        </xdr:cNvPr>
        <xdr:cNvSpPr/>
      </xdr:nvSpPr>
      <xdr:spPr>
        <a:xfrm>
          <a:off x="80962" y="92868"/>
          <a:ext cx="2747963" cy="923925"/>
        </a:xfrm>
        <a:prstGeom prst="cube">
          <a:avLst/>
        </a:prstGeom>
        <a:blipFill>
          <a:blip xmlns:r="http://schemas.openxmlformats.org/officeDocument/2006/relationships" r:embed="rId1">
            <a:duotone>
              <a:prstClr val="black"/>
              <a:schemeClr val="accent1">
                <a:lumMod val="50000"/>
                <a:tint val="45000"/>
                <a:satMod val="400000"/>
              </a:schemeClr>
            </a:duotone>
            <a:extLst>
              <a:ext uri="{BEBA8EAE-BF5A-486C-A8C5-ECC9F3942E4B}">
                <a14:imgProps xmlns:a14="http://schemas.microsoft.com/office/drawing/2010/main">
                  <a14:imgLayer r:embed="rId2">
                    <a14:imgEffect>
                      <a14:saturation sat="33000"/>
                    </a14:imgEffect>
                  </a14:imgLayer>
                </a14:imgProps>
              </a:ext>
            </a:extLst>
          </a:blip>
          <a:tile tx="0" ty="0" sx="100000" sy="100000" flip="none" algn="tl"/>
        </a:blipFill>
        <a:ln w="6350">
          <a:prstDash val="sysDot"/>
        </a:ln>
        <a:effectLst>
          <a:outerShdw blurRad="50800" dist="38100" dir="18900000" algn="bl" rotWithShape="0">
            <a:prstClr val="black">
              <a:alpha val="40000"/>
            </a:prstClr>
          </a:outerShdw>
        </a:effectLst>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ctr"/>
          <a:r>
            <a:rPr lang="en-US" sz="1050" b="1" u="sng" baseline="0">
              <a:solidFill>
                <a:schemeClr val="lt1"/>
              </a:solidFill>
              <a:effectLst/>
              <a:latin typeface="+mn-lt"/>
              <a:ea typeface="+mn-ea"/>
              <a:cs typeface="+mn-cs"/>
            </a:rPr>
            <a:t>JULY NonQM SPECIAL</a:t>
          </a:r>
          <a:endParaRPr lang="en-US" sz="1050"/>
        </a:p>
        <a:p>
          <a:pPr algn="ctr"/>
          <a:r>
            <a:rPr lang="en-US" sz="1050" baseline="0">
              <a:solidFill>
                <a:schemeClr val="bg1"/>
              </a:solidFill>
            </a:rPr>
            <a:t>25 BPS Price Improvement on all NonQM</a:t>
          </a:r>
        </a:p>
        <a:p>
          <a:pPr algn="ctr"/>
          <a:r>
            <a:rPr lang="en-US" sz="1050" baseline="0">
              <a:solidFill>
                <a:schemeClr val="bg1"/>
              </a:solidFill>
            </a:rPr>
            <a:t>*CAN COMBINE WITH SELECT</a:t>
          </a:r>
          <a:endParaRPr lang="en-US" sz="1050">
            <a:solidFill>
              <a:schemeClr val="bg1"/>
            </a:solidFill>
          </a:endParaRPr>
        </a:p>
      </xdr:txBody>
    </xdr:sp>
    <xdr:clientData/>
  </xdr:twoCellAnchor>
  <xdr:twoCellAnchor>
    <xdr:from>
      <xdr:col>8</xdr:col>
      <xdr:colOff>190500</xdr:colOff>
      <xdr:row>0</xdr:row>
      <xdr:rowOff>38100</xdr:rowOff>
    </xdr:from>
    <xdr:to>
      <xdr:col>11</xdr:col>
      <xdr:colOff>189035</xdr:colOff>
      <xdr:row>4</xdr:row>
      <xdr:rowOff>161925</xdr:rowOff>
    </xdr:to>
    <xdr:pic>
      <xdr:nvPicPr>
        <xdr:cNvPr id="9" name="Picture 6">
          <a:extLst>
            <a:ext uri="{FF2B5EF4-FFF2-40B4-BE49-F238E27FC236}">
              <a16:creationId xmlns:a16="http://schemas.microsoft.com/office/drawing/2014/main" id="{98CDF1B4-D233-462B-81AE-3727BCF85567}"/>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867400" y="38100"/>
          <a:ext cx="1836860" cy="1000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xdr:from>
      <xdr:col>17</xdr:col>
      <xdr:colOff>1035327</xdr:colOff>
      <xdr:row>2</xdr:row>
      <xdr:rowOff>33130</xdr:rowOff>
    </xdr:from>
    <xdr:to>
      <xdr:col>19</xdr:col>
      <xdr:colOff>231914</xdr:colOff>
      <xdr:row>3</xdr:row>
      <xdr:rowOff>75784</xdr:rowOff>
    </xdr:to>
    <xdr:sp macro="" textlink="">
      <xdr:nvSpPr>
        <xdr:cNvPr id="2" name="Flowchart: Alternate Process 1">
          <a:extLst>
            <a:ext uri="{FF2B5EF4-FFF2-40B4-BE49-F238E27FC236}">
              <a16:creationId xmlns:a16="http://schemas.microsoft.com/office/drawing/2014/main" id="{8B765E3A-A8B5-4DE9-96F4-DFAC00DCBF7C}"/>
            </a:ext>
          </a:extLst>
        </xdr:cNvPr>
        <xdr:cNvSpPr/>
      </xdr:nvSpPr>
      <xdr:spPr>
        <a:xfrm>
          <a:off x="13322577" y="471280"/>
          <a:ext cx="1644512" cy="261729"/>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800" b="1" cap="none" spc="0">
              <a:ln w="0"/>
              <a:solidFill>
                <a:schemeClr val="tx1"/>
              </a:solidFill>
              <a:effectLst>
                <a:outerShdw blurRad="38100" dist="19050" dir="2700000" algn="tl" rotWithShape="0">
                  <a:schemeClr val="dk1">
                    <a:alpha val="40000"/>
                  </a:schemeClr>
                </a:outerShdw>
              </a:effectLst>
            </a:rPr>
            <a:t>Lock Request</a:t>
          </a:r>
          <a:endParaRPr lang="en-US" sz="1100" b="0" cap="none" spc="0">
            <a:ln w="0"/>
            <a:solidFill>
              <a:schemeClr val="tx1"/>
            </a:solidFill>
            <a:effectLst>
              <a:outerShdw blurRad="38100" dist="19050" dir="2700000" algn="tl" rotWithShape="0">
                <a:schemeClr val="dk1">
                  <a:alpha val="40000"/>
                </a:schemeClr>
              </a:outerShdw>
            </a:effectLst>
          </a:endParaRPr>
        </a:p>
      </xdr:txBody>
    </xdr:sp>
    <xdr:clientData/>
  </xdr:twoCellAnchor>
  <xdr:twoCellAnchor>
    <xdr:from>
      <xdr:col>19</xdr:col>
      <xdr:colOff>260537</xdr:colOff>
      <xdr:row>8</xdr:row>
      <xdr:rowOff>182658</xdr:rowOff>
    </xdr:from>
    <xdr:to>
      <xdr:col>19</xdr:col>
      <xdr:colOff>1013012</xdr:colOff>
      <xdr:row>10</xdr:row>
      <xdr:rowOff>135032</xdr:rowOff>
    </xdr:to>
    <xdr:sp macro="" textlink="">
      <xdr:nvSpPr>
        <xdr:cNvPr id="3" name="Flowchart: Alternate Process 2">
          <a:extLst>
            <a:ext uri="{FF2B5EF4-FFF2-40B4-BE49-F238E27FC236}">
              <a16:creationId xmlns:a16="http://schemas.microsoft.com/office/drawing/2014/main" id="{065AAEC0-536C-42BA-8CB4-BC7AC186EEB9}"/>
            </a:ext>
          </a:extLst>
        </xdr:cNvPr>
        <xdr:cNvSpPr/>
      </xdr:nvSpPr>
      <xdr:spPr>
        <a:xfrm>
          <a:off x="14995712" y="1916208"/>
          <a:ext cx="752475" cy="342899"/>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xdr:from>
      <xdr:col>1</xdr:col>
      <xdr:colOff>28573</xdr:colOff>
      <xdr:row>0</xdr:row>
      <xdr:rowOff>78581</xdr:rowOff>
    </xdr:from>
    <xdr:to>
      <xdr:col>5</xdr:col>
      <xdr:colOff>28575</xdr:colOff>
      <xdr:row>4</xdr:row>
      <xdr:rowOff>126206</xdr:rowOff>
    </xdr:to>
    <xdr:sp macro="" textlink="">
      <xdr:nvSpPr>
        <xdr:cNvPr id="5" name="Cube 4">
          <a:extLst>
            <a:ext uri="{FF2B5EF4-FFF2-40B4-BE49-F238E27FC236}">
              <a16:creationId xmlns:a16="http://schemas.microsoft.com/office/drawing/2014/main" id="{7E3FFE27-5FA4-494C-BE87-DC9D81AF4D9E}"/>
            </a:ext>
          </a:extLst>
        </xdr:cNvPr>
        <xdr:cNvSpPr/>
      </xdr:nvSpPr>
      <xdr:spPr>
        <a:xfrm>
          <a:off x="219073" y="78581"/>
          <a:ext cx="3581402" cy="923925"/>
        </a:xfrm>
        <a:prstGeom prst="cube">
          <a:avLst/>
        </a:prstGeom>
        <a:blipFill>
          <a:blip xmlns:r="http://schemas.openxmlformats.org/officeDocument/2006/relationships" r:embed="rId1">
            <a:biLevel thresh="50000"/>
            <a:extLst>
              <a:ext uri="{BEBA8EAE-BF5A-486C-A8C5-ECC9F3942E4B}">
                <a14:imgProps xmlns:a14="http://schemas.microsoft.com/office/drawing/2010/main">
                  <a14:imgLayer r:embed="rId2">
                    <a14:imgEffect>
                      <a14:saturation sat="33000"/>
                    </a14:imgEffect>
                  </a14:imgLayer>
                </a14:imgProps>
              </a:ext>
            </a:extLst>
          </a:blip>
          <a:tile tx="0" ty="0" sx="100000" sy="100000" flip="none" algn="tl"/>
        </a:blipFill>
        <a:ln w="6350"/>
        <a:effectLst>
          <a:outerShdw blurRad="50800" dist="38100" dir="18900000" algn="bl" rotWithShape="0">
            <a:prstClr val="black">
              <a:alpha val="40000"/>
            </a:prstClr>
          </a:outerShdw>
        </a:effectLst>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ctr"/>
          <a:r>
            <a:rPr lang="en-US" sz="1050" b="1" u="sng" baseline="0">
              <a:solidFill>
                <a:schemeClr val="lt1"/>
              </a:solidFill>
              <a:effectLst/>
              <a:latin typeface="+mn-lt"/>
              <a:ea typeface="+mn-ea"/>
              <a:cs typeface="+mn-cs"/>
            </a:rPr>
            <a:t>JULY NonQM SPECIAL</a:t>
          </a:r>
          <a:endParaRPr lang="en-US" sz="1050"/>
        </a:p>
        <a:p>
          <a:pPr algn="ctr"/>
          <a:r>
            <a:rPr lang="en-US" sz="1050" baseline="0">
              <a:solidFill>
                <a:schemeClr val="bg1"/>
              </a:solidFill>
            </a:rPr>
            <a:t>25 BPS Price Improvement on all NonQM</a:t>
          </a:r>
        </a:p>
        <a:p>
          <a:pPr algn="ctr"/>
          <a:r>
            <a:rPr lang="en-US" sz="1050" baseline="0">
              <a:solidFill>
                <a:schemeClr val="bg1"/>
              </a:solidFill>
            </a:rPr>
            <a:t>*CAN COMBINE WITH SELECT, Excludes DSCR 5-8</a:t>
          </a:r>
          <a:endParaRPr lang="en-US" sz="1050">
            <a:solidFill>
              <a:schemeClr val="bg1"/>
            </a:solidFill>
          </a:endParaRPr>
        </a:p>
      </xdr:txBody>
    </xdr:sp>
    <xdr:clientData/>
  </xdr:twoCellAnchor>
  <xdr:twoCellAnchor>
    <xdr:from>
      <xdr:col>8</xdr:col>
      <xdr:colOff>0</xdr:colOff>
      <xdr:row>0</xdr:row>
      <xdr:rowOff>57150</xdr:rowOff>
    </xdr:from>
    <xdr:to>
      <xdr:col>10</xdr:col>
      <xdr:colOff>655760</xdr:colOff>
      <xdr:row>4</xdr:row>
      <xdr:rowOff>180975</xdr:rowOff>
    </xdr:to>
    <xdr:pic>
      <xdr:nvPicPr>
        <xdr:cNvPr id="6" name="Picture 6">
          <a:extLst>
            <a:ext uri="{FF2B5EF4-FFF2-40B4-BE49-F238E27FC236}">
              <a16:creationId xmlns:a16="http://schemas.microsoft.com/office/drawing/2014/main" id="{A5E7C315-184D-4438-A22F-06AE00DCC243}"/>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467475" y="57150"/>
          <a:ext cx="1836860" cy="1000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2.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loanstreamwholesale.com/nanq-nonqm-forms/" TargetMode="External"/></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https://loanstreamwholesale.com/nanq-nonqm-forms/" TargetMode="External"/></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3.bin"/><Relationship Id="rId1" Type="http://schemas.openxmlformats.org/officeDocument/2006/relationships/hyperlink" Target="https://loanstreamwholesale.com/nanq-nonqm-forms/"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1CF377-3044-4D46-9B56-60D3BE37E2F8}">
  <sheetPr codeName="Sheet15">
    <tabColor theme="4" tint="-0.499984740745262"/>
  </sheetPr>
  <dimension ref="A1:A4"/>
  <sheetViews>
    <sheetView workbookViewId="0">
      <selection activeCell="A3" sqref="A3"/>
    </sheetView>
  </sheetViews>
  <sheetFormatPr defaultRowHeight="15" x14ac:dyDescent="0.25"/>
  <sheetData>
    <row r="1" spans="1:1" x14ac:dyDescent="0.25">
      <c r="A1" t="s">
        <v>648</v>
      </c>
    </row>
    <row r="2" spans="1:1" x14ac:dyDescent="0.25">
      <c r="A2" t="s">
        <v>649</v>
      </c>
    </row>
    <row r="3" spans="1:1" x14ac:dyDescent="0.25">
      <c r="A3" t="s">
        <v>650</v>
      </c>
    </row>
    <row r="4" spans="1:1" x14ac:dyDescent="0.25">
      <c r="A4" t="s">
        <v>651</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B85E02-68A9-4632-9EAB-CD413E8B94A6}">
  <sheetPr codeName="Sheet1">
    <tabColor theme="4" tint="-0.499984740745262"/>
    <pageSetUpPr fitToPage="1"/>
  </sheetPr>
  <dimension ref="A1:AH232"/>
  <sheetViews>
    <sheetView showGridLines="0" tabSelected="1" zoomScaleNormal="100" workbookViewId="0"/>
  </sheetViews>
  <sheetFormatPr defaultColWidth="9.140625" defaultRowHeight="15" x14ac:dyDescent="0.25"/>
  <cols>
    <col min="1" max="1" width="2.7109375" style="1" customWidth="1"/>
    <col min="2" max="2" width="16.7109375" style="1" customWidth="1"/>
    <col min="3" max="3" width="19.42578125" style="1" customWidth="1"/>
    <col min="4" max="4" width="17.85546875" style="1" customWidth="1"/>
    <col min="5" max="5" width="1.7109375" style="1" customWidth="1"/>
    <col min="6" max="7" width="17.140625" style="1" customWidth="1"/>
    <col min="8" max="8" width="9.5703125" style="1" customWidth="1"/>
    <col min="9" max="10" width="8.85546875" style="1" customWidth="1"/>
    <col min="11" max="11" width="9.85546875" style="1" customWidth="1"/>
    <col min="12" max="12" width="10.42578125" style="1" customWidth="1"/>
    <col min="13" max="13" width="9.28515625" style="1" customWidth="1"/>
    <col min="14" max="14" width="9.140625" style="1"/>
    <col min="15" max="16" width="13.42578125" style="1" customWidth="1"/>
    <col min="17" max="17" width="1.28515625" style="1" customWidth="1"/>
    <col min="18" max="18" width="1.42578125" style="1" customWidth="1"/>
    <col min="19" max="19" width="19.85546875" style="1" customWidth="1"/>
    <col min="20" max="20" width="13.5703125" style="1" customWidth="1"/>
    <col min="21" max="22" width="21.7109375" style="1" customWidth="1"/>
    <col min="23" max="23" width="3.140625" style="1" customWidth="1"/>
    <col min="24" max="24" width="9.140625" style="1"/>
    <col min="25" max="25" width="9.42578125" style="1" customWidth="1"/>
    <col min="26" max="26" width="17.140625" style="1" customWidth="1"/>
    <col min="27" max="16384" width="9.140625" style="1"/>
  </cols>
  <sheetData>
    <row r="1" spans="1:25" ht="17.45" customHeight="1" x14ac:dyDescent="0.25">
      <c r="N1" s="654" t="s">
        <v>0</v>
      </c>
      <c r="O1" s="654"/>
      <c r="P1" s="654"/>
      <c r="Q1" s="2"/>
      <c r="R1" s="655"/>
      <c r="S1" s="655"/>
      <c r="T1" s="2"/>
      <c r="U1" s="2"/>
      <c r="V1" s="3"/>
    </row>
    <row r="2" spans="1:25" ht="17.45" customHeight="1" x14ac:dyDescent="0.25">
      <c r="B2" s="733" t="s">
        <v>938</v>
      </c>
      <c r="C2" s="734"/>
      <c r="D2" s="734"/>
      <c r="N2" s="656" t="s">
        <v>1</v>
      </c>
      <c r="O2" s="656"/>
      <c r="P2" s="656"/>
      <c r="Q2" s="4"/>
      <c r="R2" s="657"/>
      <c r="S2" s="657"/>
      <c r="T2" s="2"/>
      <c r="U2" s="2"/>
      <c r="V2" s="3"/>
    </row>
    <row r="3" spans="1:25" ht="17.45" customHeight="1" x14ac:dyDescent="0.25">
      <c r="B3" s="513" t="s">
        <v>824</v>
      </c>
      <c r="C3" s="731" t="s">
        <v>934</v>
      </c>
      <c r="D3" s="732"/>
      <c r="N3" s="656" t="s">
        <v>2</v>
      </c>
      <c r="O3" s="656"/>
      <c r="P3" s="656"/>
      <c r="Q3" s="4"/>
      <c r="R3" s="657"/>
      <c r="S3" s="657"/>
      <c r="T3" s="4"/>
      <c r="U3" s="4"/>
    </row>
    <row r="4" spans="1:25" ht="17.45" customHeight="1" x14ac:dyDescent="0.25">
      <c r="B4"/>
      <c r="C4"/>
      <c r="D4"/>
      <c r="F4" s="5"/>
      <c r="G4" s="104"/>
      <c r="M4" s="6"/>
      <c r="N4" s="7"/>
      <c r="O4" s="7"/>
      <c r="P4" s="7"/>
      <c r="Q4" s="8"/>
      <c r="R4" s="4"/>
      <c r="S4" s="4"/>
      <c r="T4" s="4"/>
      <c r="U4" s="4"/>
    </row>
    <row r="5" spans="1:25" ht="17.45" customHeight="1" thickBot="1" x14ac:dyDescent="0.3">
      <c r="B5" s="517" t="s">
        <v>896</v>
      </c>
      <c r="C5" s="517">
        <f ca="1">NOW()</f>
        <v>46251.275421990744</v>
      </c>
      <c r="L5" s="9"/>
      <c r="M5" s="665" t="s">
        <v>3</v>
      </c>
      <c r="N5" s="665"/>
      <c r="O5" s="666">
        <v>46251</v>
      </c>
      <c r="P5" s="666"/>
      <c r="Q5" s="8"/>
      <c r="S5" s="496"/>
      <c r="T5" s="3"/>
      <c r="U5" s="3"/>
    </row>
    <row r="6" spans="1:25" ht="17.45" customHeight="1" x14ac:dyDescent="0.25">
      <c r="A6" s="11"/>
      <c r="B6" s="619" t="s">
        <v>4</v>
      </c>
      <c r="C6" s="620"/>
      <c r="D6" s="620"/>
      <c r="E6" s="13"/>
      <c r="F6" s="670" t="s">
        <v>5</v>
      </c>
      <c r="G6" s="671"/>
      <c r="H6" s="671"/>
      <c r="I6" s="671"/>
      <c r="J6" s="671"/>
      <c r="K6" s="671"/>
      <c r="L6" s="671"/>
      <c r="M6" s="671"/>
      <c r="N6" s="671"/>
      <c r="O6" s="671"/>
      <c r="P6" s="672"/>
      <c r="Q6" s="12"/>
      <c r="R6" s="14"/>
      <c r="S6" s="676" t="s">
        <v>6</v>
      </c>
      <c r="T6" s="677"/>
      <c r="U6" s="677"/>
      <c r="V6" s="678"/>
      <c r="W6" s="14"/>
    </row>
    <row r="7" spans="1:25" ht="17.45" customHeight="1" x14ac:dyDescent="0.25">
      <c r="A7" s="11"/>
      <c r="B7" s="619"/>
      <c r="C7" s="620"/>
      <c r="D7" s="620"/>
      <c r="E7" s="13"/>
      <c r="F7" s="673"/>
      <c r="G7" s="674"/>
      <c r="H7" s="674"/>
      <c r="I7" s="674"/>
      <c r="J7" s="674"/>
      <c r="K7" s="674"/>
      <c r="L7" s="674"/>
      <c r="M7" s="674"/>
      <c r="N7" s="674"/>
      <c r="O7" s="674"/>
      <c r="P7" s="675"/>
      <c r="Q7" s="12"/>
      <c r="R7" s="14"/>
      <c r="S7" s="679"/>
      <c r="T7" s="680"/>
      <c r="U7" s="680"/>
      <c r="V7" s="681"/>
      <c r="W7" s="14"/>
    </row>
    <row r="8" spans="1:25" ht="15.75" customHeight="1" x14ac:dyDescent="0.25">
      <c r="A8" s="11"/>
      <c r="B8" s="621"/>
      <c r="C8" s="622"/>
      <c r="D8" s="622"/>
      <c r="E8" s="14"/>
      <c r="F8" s="443"/>
      <c r="G8" s="444"/>
      <c r="H8" s="444"/>
      <c r="I8" s="444"/>
      <c r="J8" s="444"/>
      <c r="K8" s="444"/>
      <c r="L8" s="444"/>
      <c r="M8" s="444"/>
      <c r="N8" s="444"/>
      <c r="O8" s="444"/>
      <c r="P8" s="442"/>
      <c r="Q8" s="14"/>
      <c r="R8" s="14"/>
      <c r="S8" s="443"/>
      <c r="T8" s="444"/>
      <c r="U8" s="444"/>
      <c r="V8" s="442"/>
      <c r="W8" s="11"/>
    </row>
    <row r="9" spans="1:25" ht="15.75" x14ac:dyDescent="0.25">
      <c r="A9" s="11"/>
      <c r="B9" s="623" t="s">
        <v>7</v>
      </c>
      <c r="C9" s="624"/>
      <c r="D9" s="624"/>
      <c r="E9" s="14"/>
      <c r="F9" s="682" t="s">
        <v>8</v>
      </c>
      <c r="G9" s="683"/>
      <c r="H9" s="683"/>
      <c r="I9" s="683"/>
      <c r="J9" s="683"/>
      <c r="K9" s="683"/>
      <c r="L9" s="683"/>
      <c r="M9" s="683"/>
      <c r="N9" s="683"/>
      <c r="O9" s="683"/>
      <c r="P9" s="684"/>
      <c r="Q9" s="18"/>
      <c r="R9" s="14"/>
      <c r="S9" s="19"/>
      <c r="T9" s="20"/>
      <c r="U9" s="21" t="s">
        <v>9</v>
      </c>
      <c r="V9" s="22"/>
      <c r="W9" s="14"/>
    </row>
    <row r="10" spans="1:25" ht="15.75" customHeight="1" x14ac:dyDescent="0.25">
      <c r="A10" s="11"/>
      <c r="B10" s="445" t="s">
        <v>10</v>
      </c>
      <c r="C10" s="446" t="s">
        <v>210</v>
      </c>
      <c r="D10" s="446" t="s">
        <v>221</v>
      </c>
      <c r="E10" s="14"/>
      <c r="F10" s="685" t="s">
        <v>12</v>
      </c>
      <c r="G10" s="686"/>
      <c r="H10" s="447" t="s">
        <v>13</v>
      </c>
      <c r="I10" s="447" t="s">
        <v>14</v>
      </c>
      <c r="J10" s="447" t="s">
        <v>15</v>
      </c>
      <c r="K10" s="447" t="s">
        <v>16</v>
      </c>
      <c r="L10" s="447" t="s">
        <v>17</v>
      </c>
      <c r="M10" s="447" t="s">
        <v>18</v>
      </c>
      <c r="N10" s="447" t="s">
        <v>19</v>
      </c>
      <c r="O10" s="447" t="s">
        <v>20</v>
      </c>
      <c r="P10" s="446" t="s">
        <v>21</v>
      </c>
      <c r="Q10" s="26"/>
      <c r="R10" s="14"/>
      <c r="S10" s="661" t="s">
        <v>22</v>
      </c>
      <c r="T10" s="662"/>
      <c r="U10" s="27">
        <v>0</v>
      </c>
      <c r="V10" s="362"/>
      <c r="W10" s="14"/>
    </row>
    <row r="11" spans="1:25" ht="14.25" customHeight="1" x14ac:dyDescent="0.25">
      <c r="A11" s="11"/>
      <c r="B11" s="28">
        <v>5.99</v>
      </c>
      <c r="C11" s="515">
        <v>97.962999999999994</v>
      </c>
      <c r="D11" s="368">
        <v>97.662999999999997</v>
      </c>
      <c r="E11" s="14"/>
      <c r="F11" s="663" t="s">
        <v>23</v>
      </c>
      <c r="G11" s="664"/>
      <c r="H11" s="29">
        <v>0.875</v>
      </c>
      <c r="I11" s="29">
        <v>0.625</v>
      </c>
      <c r="J11" s="29">
        <v>0.625</v>
      </c>
      <c r="K11" s="29">
        <v>0.625</v>
      </c>
      <c r="L11" s="29">
        <v>0.5</v>
      </c>
      <c r="M11" s="29">
        <v>0.22500000000000001</v>
      </c>
      <c r="N11" s="29">
        <v>-0.5</v>
      </c>
      <c r="O11" s="29">
        <v>-1.625</v>
      </c>
      <c r="P11" s="30">
        <v>-3.5249999999999999</v>
      </c>
      <c r="Q11" s="31"/>
      <c r="R11" s="14"/>
      <c r="S11" s="627" t="s">
        <v>24</v>
      </c>
      <c r="T11" s="628"/>
      <c r="U11" s="32" t="s">
        <v>32</v>
      </c>
      <c r="V11" s="362"/>
      <c r="W11" s="14"/>
      <c r="X11" s="33"/>
      <c r="Y11" s="33"/>
    </row>
    <row r="12" spans="1:25" x14ac:dyDescent="0.25">
      <c r="A12" s="11"/>
      <c r="B12" s="28">
        <v>6.125</v>
      </c>
      <c r="C12" s="515">
        <v>98.587500000000006</v>
      </c>
      <c r="D12" s="368">
        <v>98.287500000000023</v>
      </c>
      <c r="E12" s="14"/>
      <c r="F12" s="629" t="s">
        <v>25</v>
      </c>
      <c r="G12" s="630"/>
      <c r="H12" s="35">
        <v>0.65</v>
      </c>
      <c r="I12" s="35">
        <v>0.58799999999999997</v>
      </c>
      <c r="J12" s="29">
        <v>0.58799999999999997</v>
      </c>
      <c r="K12" s="35">
        <v>0.5</v>
      </c>
      <c r="L12" s="35">
        <v>0.375</v>
      </c>
      <c r="M12" s="35">
        <v>0.125</v>
      </c>
      <c r="N12" s="35">
        <v>-0.625</v>
      </c>
      <c r="O12" s="35">
        <v>-2.125</v>
      </c>
      <c r="P12" s="36">
        <v>-3.7749999999999999</v>
      </c>
      <c r="Q12" s="31"/>
      <c r="R12" s="14"/>
      <c r="S12" s="627" t="s">
        <v>26</v>
      </c>
      <c r="T12" s="628"/>
      <c r="U12" s="32" t="s">
        <v>32</v>
      </c>
      <c r="V12" s="362" t="b">
        <f>IF(ISNUMBER(MATCH($U$11,'Feed(WS)'!$B$3:$B$11,0)),
   INDEX($H$11:$P$20,MATCH($U$12,$F$11:$F$20,0),MATCH($U$11,$H$10:$P$10,0)))</f>
        <v>0</v>
      </c>
      <c r="W12" s="14"/>
      <c r="X12" s="33"/>
      <c r="Y12" s="33"/>
    </row>
    <row r="13" spans="1:25" ht="15.75" customHeight="1" x14ac:dyDescent="0.25">
      <c r="A13" s="11"/>
      <c r="B13" s="28">
        <v>6.25</v>
      </c>
      <c r="C13" s="515">
        <v>99.125500000000002</v>
      </c>
      <c r="D13" s="368">
        <v>98.825500000000019</v>
      </c>
      <c r="E13" s="14"/>
      <c r="F13" s="629" t="s">
        <v>27</v>
      </c>
      <c r="G13" s="630"/>
      <c r="H13" s="35">
        <v>0.58799999999999997</v>
      </c>
      <c r="I13" s="35">
        <v>0.5</v>
      </c>
      <c r="J13" s="29">
        <v>0.5</v>
      </c>
      <c r="K13" s="35">
        <v>0.375</v>
      </c>
      <c r="L13" s="35">
        <v>0.125</v>
      </c>
      <c r="M13" s="35">
        <v>-0.375</v>
      </c>
      <c r="N13" s="35">
        <v>-0.875</v>
      </c>
      <c r="O13" s="35">
        <v>-2.375</v>
      </c>
      <c r="P13" s="36">
        <v>-4.0250000000000004</v>
      </c>
      <c r="Q13" s="31"/>
      <c r="R13" s="14"/>
      <c r="S13" s="627" t="s">
        <v>28</v>
      </c>
      <c r="T13" s="628"/>
      <c r="U13" s="32" t="s">
        <v>32</v>
      </c>
      <c r="V13" s="362" t="e">
        <f>IF(OR($U$11="", $U$13=""), "",
   INDEX($H$23:$P$24,
         MATCH($U$13,$F$23:$F$24,0),
         MATCH($U$11,$H$10:$P$10,0)))</f>
        <v>#N/A</v>
      </c>
      <c r="W13" s="14"/>
      <c r="X13" s="33"/>
      <c r="Y13" s="33"/>
    </row>
    <row r="14" spans="1:25" ht="15.75" customHeight="1" x14ac:dyDescent="0.25">
      <c r="A14" s="11"/>
      <c r="B14" s="28">
        <v>6.375</v>
      </c>
      <c r="C14" s="515">
        <v>99.625500000000002</v>
      </c>
      <c r="D14" s="368">
        <v>99.325500000000019</v>
      </c>
      <c r="E14" s="14"/>
      <c r="F14" s="629" t="s">
        <v>30</v>
      </c>
      <c r="G14" s="630"/>
      <c r="H14" s="35">
        <v>0.5</v>
      </c>
      <c r="I14" s="35">
        <v>0.375</v>
      </c>
      <c r="J14" s="29">
        <v>0.375</v>
      </c>
      <c r="K14" s="35">
        <v>0.125</v>
      </c>
      <c r="L14" s="35">
        <v>-0.25</v>
      </c>
      <c r="M14" s="35">
        <v>-0.6</v>
      </c>
      <c r="N14" s="35">
        <v>-1.1499999999999999</v>
      </c>
      <c r="O14" s="35">
        <v>-3.125</v>
      </c>
      <c r="P14" s="36">
        <v>-4.5250000000000004</v>
      </c>
      <c r="Q14" s="31"/>
      <c r="R14" s="14"/>
      <c r="S14" s="627" t="s">
        <v>31</v>
      </c>
      <c r="T14" s="628"/>
      <c r="U14" s="32" t="s">
        <v>32</v>
      </c>
      <c r="V14" s="384">
        <f>'Feed(WS)'!$O$168</f>
        <v>0</v>
      </c>
      <c r="W14" s="14"/>
      <c r="X14" s="33"/>
      <c r="Y14" s="33"/>
    </row>
    <row r="15" spans="1:25" x14ac:dyDescent="0.25">
      <c r="A15" s="11"/>
      <c r="B15" s="28">
        <v>6.4989999999999997</v>
      </c>
      <c r="C15" s="515">
        <v>100.06250000000001</v>
      </c>
      <c r="D15" s="368">
        <v>99.762500000000017</v>
      </c>
      <c r="E15" s="14"/>
      <c r="F15" s="629" t="s">
        <v>33</v>
      </c>
      <c r="G15" s="630"/>
      <c r="H15" s="35">
        <v>0.125</v>
      </c>
      <c r="I15" s="35">
        <v>-0.125</v>
      </c>
      <c r="J15" s="29">
        <v>-0.125</v>
      </c>
      <c r="K15" s="35">
        <v>-0.5</v>
      </c>
      <c r="L15" s="35">
        <v>-0.625</v>
      </c>
      <c r="M15" s="35">
        <v>-1.125</v>
      </c>
      <c r="N15" s="35">
        <v>-2.0249999999999999</v>
      </c>
      <c r="O15" s="35">
        <v>-3.875</v>
      </c>
      <c r="P15" s="36">
        <v>-5.2750000000000004</v>
      </c>
      <c r="Q15" s="31"/>
      <c r="R15" s="14"/>
      <c r="S15" s="627" t="s">
        <v>34</v>
      </c>
      <c r="T15" s="628"/>
      <c r="U15" s="32" t="s">
        <v>32</v>
      </c>
      <c r="V15" s="362" t="e">
        <f>IF(OR($U$11="", $U$15=""), "",
   INDEX($H$78:$P$82,
         MATCH($U$15,$F$78:$F$82,0),
         MATCH($U$11,$H$10:$P$10,0)))</f>
        <v>#N/A</v>
      </c>
      <c r="W15" s="14"/>
      <c r="X15" s="33"/>
      <c r="Y15" s="33"/>
    </row>
    <row r="16" spans="1:25" ht="14.25" customHeight="1" x14ac:dyDescent="0.25">
      <c r="A16" s="11"/>
      <c r="B16" s="28">
        <v>6.625</v>
      </c>
      <c r="C16" s="515">
        <v>100.46050000000001</v>
      </c>
      <c r="D16" s="368">
        <v>100.16050000000001</v>
      </c>
      <c r="E16" s="14"/>
      <c r="F16" s="629" t="s">
        <v>36</v>
      </c>
      <c r="G16" s="630"/>
      <c r="H16" s="35">
        <v>-0.125</v>
      </c>
      <c r="I16" s="35">
        <v>-0.25</v>
      </c>
      <c r="J16" s="29">
        <v>-0.35</v>
      </c>
      <c r="K16" s="35">
        <v>-0.625</v>
      </c>
      <c r="L16" s="35">
        <v>-1.125</v>
      </c>
      <c r="M16" s="35">
        <v>-1.75</v>
      </c>
      <c r="N16" s="35">
        <v>-3.05</v>
      </c>
      <c r="O16" s="35">
        <v>-4.875</v>
      </c>
      <c r="P16" s="39" t="e">
        <v>#N/A</v>
      </c>
      <c r="Q16" s="31"/>
      <c r="R16" s="14"/>
      <c r="S16" s="627" t="s">
        <v>37</v>
      </c>
      <c r="T16" s="628"/>
      <c r="U16" s="32" t="s">
        <v>38</v>
      </c>
      <c r="V16" s="362">
        <f>IF(OR($U$11="", $U$16="", $U$16="NONE"),0,
   INDEX($H$84:$P$87,
         MATCH($U$16,$F$84:$F$87,0),
         MATCH($U$11,$H$10:$P$10,0)))</f>
        <v>0</v>
      </c>
      <c r="W16" s="14"/>
      <c r="X16" s="33"/>
      <c r="Y16" s="33"/>
    </row>
    <row r="17" spans="1:25" x14ac:dyDescent="0.25">
      <c r="A17" s="11"/>
      <c r="B17" s="28">
        <v>6.75</v>
      </c>
      <c r="C17" s="515">
        <v>100.85150000000002</v>
      </c>
      <c r="D17" s="368">
        <v>100.55150000000002</v>
      </c>
      <c r="E17" s="14"/>
      <c r="F17" s="629" t="s">
        <v>39</v>
      </c>
      <c r="G17" s="630"/>
      <c r="H17" s="35">
        <v>-0.625</v>
      </c>
      <c r="I17" s="35">
        <v>-0.625</v>
      </c>
      <c r="J17" s="29">
        <v>-0.5</v>
      </c>
      <c r="K17" s="35">
        <v>-0.875</v>
      </c>
      <c r="L17" s="35">
        <v>-1.375</v>
      </c>
      <c r="M17" s="35">
        <v>-2.7250000000000001</v>
      </c>
      <c r="N17" s="35">
        <v>-4</v>
      </c>
      <c r="O17" s="40" t="e">
        <v>#N/A</v>
      </c>
      <c r="P17" s="39" t="e">
        <v>#N/A</v>
      </c>
      <c r="Q17" s="31"/>
      <c r="R17" s="14"/>
      <c r="S17" s="627" t="s">
        <v>40</v>
      </c>
      <c r="T17" s="628"/>
      <c r="U17" s="32" t="s">
        <v>32</v>
      </c>
      <c r="V17" s="362">
        <v>0</v>
      </c>
      <c r="W17" s="14"/>
      <c r="X17" s="33"/>
      <c r="Y17" s="33"/>
    </row>
    <row r="18" spans="1:25" x14ac:dyDescent="0.25">
      <c r="A18" s="11"/>
      <c r="B18" s="28">
        <v>6.875</v>
      </c>
      <c r="C18" s="515">
        <v>101.23450000000001</v>
      </c>
      <c r="D18" s="368">
        <v>100.93450000000001</v>
      </c>
      <c r="E18" s="14"/>
      <c r="F18" s="629" t="s">
        <v>41</v>
      </c>
      <c r="G18" s="630"/>
      <c r="H18" s="35">
        <v>-1.375</v>
      </c>
      <c r="I18" s="35">
        <v>-1.5</v>
      </c>
      <c r="J18" s="29">
        <v>-1.75</v>
      </c>
      <c r="K18" s="35">
        <v>-2</v>
      </c>
      <c r="L18" s="35">
        <v>-2.25</v>
      </c>
      <c r="M18" s="35">
        <v>-3.875</v>
      </c>
      <c r="N18" s="35">
        <v>-4.9000000000000004</v>
      </c>
      <c r="O18" s="40" t="e">
        <v>#N/A</v>
      </c>
      <c r="P18" s="39" t="e">
        <v>#N/A</v>
      </c>
      <c r="Q18" s="31"/>
      <c r="R18" s="14"/>
      <c r="S18" s="627" t="s">
        <v>42</v>
      </c>
      <c r="T18" s="628"/>
      <c r="U18" s="32" t="s">
        <v>32</v>
      </c>
      <c r="V18" s="362" t="e">
        <f>IF(OR($U$11="", $U$18="", $U$18="None in this Dropdown"),0,
   INDEX($H$26:$P$31,
         MATCH($U$18,$F$26:$F$31,0),
         MATCH($U$11,$H$10:$P$10,0)))</f>
        <v>#N/A</v>
      </c>
      <c r="W18" s="14"/>
      <c r="X18" s="33"/>
      <c r="Y18" s="33"/>
    </row>
    <row r="19" spans="1:25" ht="15.75" customHeight="1" x14ac:dyDescent="0.25">
      <c r="A19" s="11"/>
      <c r="B19" s="28">
        <v>6.9989999999999997</v>
      </c>
      <c r="C19" s="515">
        <v>101.60950000000001</v>
      </c>
      <c r="D19" s="368">
        <v>101.30950000000001</v>
      </c>
      <c r="E19" s="14"/>
      <c r="F19" s="629" t="s">
        <v>43</v>
      </c>
      <c r="G19" s="630"/>
      <c r="H19" s="35">
        <v>-2.5</v>
      </c>
      <c r="I19" s="35">
        <v>-2.5</v>
      </c>
      <c r="J19" s="29">
        <v>-2.625</v>
      </c>
      <c r="K19" s="35">
        <v>-2.7749999999999999</v>
      </c>
      <c r="L19" s="35">
        <v>-3.2749999999999999</v>
      </c>
      <c r="M19" s="35">
        <v>-4.7750000000000004</v>
      </c>
      <c r="N19" s="35">
        <v>-5.875</v>
      </c>
      <c r="O19" s="40" t="e">
        <v>#N/A</v>
      </c>
      <c r="P19" s="39" t="e">
        <v>#N/A</v>
      </c>
      <c r="Q19" s="31"/>
      <c r="R19" s="14"/>
      <c r="S19" s="627" t="s">
        <v>593</v>
      </c>
      <c r="T19" s="628"/>
      <c r="U19" s="32" t="s">
        <v>32</v>
      </c>
      <c r="V19" s="362">
        <f>'Feed(WS)'!$R$163</f>
        <v>0</v>
      </c>
      <c r="W19" s="14"/>
      <c r="X19" s="33"/>
      <c r="Y19" s="33"/>
    </row>
    <row r="20" spans="1:25" ht="15.75" customHeight="1" x14ac:dyDescent="0.25">
      <c r="A20" s="11"/>
      <c r="B20" s="28">
        <v>7.125</v>
      </c>
      <c r="C20" s="515">
        <v>101.97650000000002</v>
      </c>
      <c r="D20" s="368">
        <v>101.67650000000002</v>
      </c>
      <c r="E20" s="14"/>
      <c r="F20" s="629" t="s">
        <v>45</v>
      </c>
      <c r="G20" s="630"/>
      <c r="H20" s="35">
        <v>-3</v>
      </c>
      <c r="I20" s="35">
        <v>-3.25</v>
      </c>
      <c r="J20" s="29">
        <v>-3.5</v>
      </c>
      <c r="K20" s="35">
        <v>-3.75</v>
      </c>
      <c r="L20" s="35">
        <v>-4.25</v>
      </c>
      <c r="M20" s="35">
        <v>-5.625</v>
      </c>
      <c r="N20" s="35">
        <v>-6.625</v>
      </c>
      <c r="O20" s="40" t="e">
        <v>#N/A</v>
      </c>
      <c r="P20" s="39" t="e">
        <v>#N/A</v>
      </c>
      <c r="Q20" s="31"/>
      <c r="R20" s="14"/>
      <c r="S20" s="627" t="s">
        <v>46</v>
      </c>
      <c r="T20" s="628"/>
      <c r="U20" s="32" t="s">
        <v>32</v>
      </c>
      <c r="V20" s="362">
        <f>'Feed(WS)'!$Q$163</f>
        <v>0</v>
      </c>
      <c r="W20" s="14"/>
      <c r="X20" s="33"/>
      <c r="Y20" s="33"/>
    </row>
    <row r="21" spans="1:25" ht="15.75" customHeight="1" x14ac:dyDescent="0.25">
      <c r="A21" s="11"/>
      <c r="B21" s="28">
        <v>7.25</v>
      </c>
      <c r="C21" s="515">
        <v>102.33550000000001</v>
      </c>
      <c r="D21" s="368">
        <v>102.03550000000001</v>
      </c>
      <c r="E21" s="14"/>
      <c r="F21" s="682"/>
      <c r="G21" s="683"/>
      <c r="H21" s="683"/>
      <c r="I21" s="683"/>
      <c r="J21" s="683"/>
      <c r="K21" s="683"/>
      <c r="L21" s="683"/>
      <c r="M21" s="683"/>
      <c r="N21" s="683"/>
      <c r="O21" s="683"/>
      <c r="P21" s="684"/>
      <c r="Q21" s="31"/>
      <c r="R21" s="14"/>
      <c r="S21" s="627" t="s">
        <v>47</v>
      </c>
      <c r="T21" s="628"/>
      <c r="U21" s="32" t="s">
        <v>32</v>
      </c>
      <c r="V21" s="362" t="e">
        <f>IF(OR($U$11="", $U$21=""), "",
   INDEX($H$39:$P$49,
         MATCH($U$21,$F$39:$F$49,0),
         MATCH($U$11,$H$10:$P$10,0)))</f>
        <v>#N/A</v>
      </c>
      <c r="W21" s="14"/>
      <c r="X21" s="33"/>
    </row>
    <row r="22" spans="1:25" x14ac:dyDescent="0.25">
      <c r="A22" s="11"/>
      <c r="B22" s="28">
        <v>7.375</v>
      </c>
      <c r="C22" s="515">
        <v>102.68750000000001</v>
      </c>
      <c r="D22" s="368">
        <v>102.38750000000002</v>
      </c>
      <c r="E22" s="14"/>
      <c r="F22" s="658" t="s">
        <v>28</v>
      </c>
      <c r="G22" s="659"/>
      <c r="H22" s="659"/>
      <c r="I22" s="659"/>
      <c r="J22" s="659"/>
      <c r="K22" s="659"/>
      <c r="L22" s="659"/>
      <c r="M22" s="659"/>
      <c r="N22" s="659"/>
      <c r="O22" s="659"/>
      <c r="P22" s="660"/>
      <c r="Q22" s="14"/>
      <c r="R22" s="14"/>
      <c r="S22" s="627" t="s">
        <v>48</v>
      </c>
      <c r="T22" s="628"/>
      <c r="U22" s="32" t="s">
        <v>32</v>
      </c>
      <c r="V22" s="362" t="e">
        <f>IF(OR($U$11="", $U$22=""), "",
   INDEX($H$33:$P$37,
         MATCH($U$22,$F$33:$F$37,0),
         MATCH($U$11,$H$10:$P$10,0)))</f>
        <v>#N/A</v>
      </c>
      <c r="W22" s="14"/>
    </row>
    <row r="23" spans="1:25" ht="15.75" customHeight="1" x14ac:dyDescent="0.25">
      <c r="A23" s="11"/>
      <c r="B23" s="28">
        <v>7.4989999999999997</v>
      </c>
      <c r="C23" s="515">
        <v>103.03150000000001</v>
      </c>
      <c r="D23" s="368">
        <v>102.73150000000001</v>
      </c>
      <c r="E23" s="14"/>
      <c r="F23" s="631" t="s">
        <v>49</v>
      </c>
      <c r="G23" s="632"/>
      <c r="H23" s="44">
        <v>0.5</v>
      </c>
      <c r="I23" s="44">
        <v>0.5</v>
      </c>
      <c r="J23" s="44">
        <v>0.5</v>
      </c>
      <c r="K23" s="44">
        <v>0.5</v>
      </c>
      <c r="L23" s="44">
        <v>0.5</v>
      </c>
      <c r="M23" s="44">
        <v>0.5</v>
      </c>
      <c r="N23" s="44">
        <v>0.5</v>
      </c>
      <c r="O23" s="44">
        <v>0.5</v>
      </c>
      <c r="P23" s="45" t="e">
        <v>#N/A</v>
      </c>
      <c r="Q23" s="14"/>
      <c r="R23" s="14"/>
      <c r="S23" s="627" t="s">
        <v>50</v>
      </c>
      <c r="T23" s="628"/>
      <c r="U23" s="32" t="s">
        <v>32</v>
      </c>
      <c r="V23" s="362">
        <f>'Feed(WS)'!$P$168</f>
        <v>0</v>
      </c>
      <c r="W23" s="14"/>
      <c r="Y23" s="46"/>
    </row>
    <row r="24" spans="1:25" ht="15.75" customHeight="1" x14ac:dyDescent="0.25">
      <c r="A24" s="11"/>
      <c r="B24" s="28">
        <v>7.625</v>
      </c>
      <c r="C24" s="515">
        <v>103.36750000000002</v>
      </c>
      <c r="D24" s="368">
        <v>103.06750000000002</v>
      </c>
      <c r="E24" s="14"/>
      <c r="F24" s="625" t="s">
        <v>29</v>
      </c>
      <c r="G24" s="626"/>
      <c r="H24" s="44">
        <v>0</v>
      </c>
      <c r="I24" s="44">
        <v>0</v>
      </c>
      <c r="J24" s="44">
        <v>0</v>
      </c>
      <c r="K24" s="44">
        <v>0</v>
      </c>
      <c r="L24" s="44">
        <v>0</v>
      </c>
      <c r="M24" s="44">
        <v>0</v>
      </c>
      <c r="N24" s="44">
        <v>0</v>
      </c>
      <c r="O24" s="44">
        <v>0</v>
      </c>
      <c r="P24" s="45">
        <v>0</v>
      </c>
      <c r="Q24" s="14"/>
      <c r="R24" s="14"/>
      <c r="S24" s="627" t="s">
        <v>51</v>
      </c>
      <c r="T24" s="628"/>
      <c r="U24" s="32" t="s">
        <v>32</v>
      </c>
      <c r="V24" s="362">
        <f>'Feed(WS)'!$P$163</f>
        <v>0</v>
      </c>
      <c r="W24" s="14"/>
      <c r="Y24" s="46"/>
    </row>
    <row r="25" spans="1:25" ht="15.75" customHeight="1" x14ac:dyDescent="0.25">
      <c r="A25" s="11"/>
      <c r="B25" s="28">
        <v>7.75</v>
      </c>
      <c r="C25" s="515">
        <v>103.69550000000001</v>
      </c>
      <c r="D25" s="368">
        <v>103.39550000000001</v>
      </c>
      <c r="E25" s="14"/>
      <c r="F25" s="635" t="s">
        <v>52</v>
      </c>
      <c r="G25" s="636"/>
      <c r="H25" s="636"/>
      <c r="I25" s="636"/>
      <c r="J25" s="636"/>
      <c r="K25" s="636"/>
      <c r="L25" s="636"/>
      <c r="M25" s="636"/>
      <c r="N25" s="636"/>
      <c r="O25" s="636"/>
      <c r="P25" s="637"/>
      <c r="Q25" s="14"/>
      <c r="R25" s="14"/>
      <c r="S25" s="627" t="s">
        <v>53</v>
      </c>
      <c r="T25" s="628"/>
      <c r="U25" s="32" t="s">
        <v>32</v>
      </c>
      <c r="V25" s="362">
        <f>'Feed(WS)'!$O$163</f>
        <v>0</v>
      </c>
      <c r="W25" s="14"/>
    </row>
    <row r="26" spans="1:25" x14ac:dyDescent="0.25">
      <c r="A26" s="11"/>
      <c r="B26" s="28">
        <v>7.875</v>
      </c>
      <c r="C26" s="515">
        <v>104.01550000000002</v>
      </c>
      <c r="D26" s="368">
        <v>103.71550000000002</v>
      </c>
      <c r="E26" s="14"/>
      <c r="F26" s="625" t="s">
        <v>55</v>
      </c>
      <c r="G26" s="626"/>
      <c r="H26" s="44">
        <v>-0.25</v>
      </c>
      <c r="I26" s="44">
        <v>-0.25</v>
      </c>
      <c r="J26" s="44">
        <v>-0.25</v>
      </c>
      <c r="K26" s="44">
        <v>-0.25</v>
      </c>
      <c r="L26" s="44">
        <v>-0.25</v>
      </c>
      <c r="M26" s="44">
        <v>-0.25</v>
      </c>
      <c r="N26" s="44">
        <v>-0.25</v>
      </c>
      <c r="O26" s="44">
        <v>-0.25</v>
      </c>
      <c r="P26" s="45">
        <v>-0.5</v>
      </c>
      <c r="Q26" s="14"/>
      <c r="R26" s="14"/>
      <c r="S26" s="627" t="s">
        <v>56</v>
      </c>
      <c r="T26" s="628"/>
      <c r="U26" s="32" t="s">
        <v>32</v>
      </c>
      <c r="V26" s="362">
        <f>'Feed(WS)'!$Q$168</f>
        <v>0</v>
      </c>
      <c r="W26" s="14"/>
    </row>
    <row r="27" spans="1:25" ht="15.75" customHeight="1" x14ac:dyDescent="0.25">
      <c r="A27" s="11"/>
      <c r="B27" s="28">
        <v>7.9989999999999997</v>
      </c>
      <c r="C27" s="515">
        <v>104.29650000000001</v>
      </c>
      <c r="D27" s="368">
        <v>103.99650000000001</v>
      </c>
      <c r="E27" s="14"/>
      <c r="F27" s="625" t="s">
        <v>58</v>
      </c>
      <c r="G27" s="626"/>
      <c r="H27" s="44">
        <v>-0.25</v>
      </c>
      <c r="I27" s="44">
        <v>-0.25</v>
      </c>
      <c r="J27" s="44">
        <v>-0.25</v>
      </c>
      <c r="K27" s="44">
        <v>-0.25</v>
      </c>
      <c r="L27" s="44">
        <v>-0.25</v>
      </c>
      <c r="M27" s="44">
        <v>-0.25</v>
      </c>
      <c r="N27" s="44">
        <v>-0.25</v>
      </c>
      <c r="O27" s="44">
        <v>-0.25</v>
      </c>
      <c r="P27" s="45">
        <v>-0.5</v>
      </c>
      <c r="Q27" s="14"/>
      <c r="R27" s="14"/>
      <c r="S27" s="627" t="s">
        <v>59</v>
      </c>
      <c r="T27" s="628"/>
      <c r="U27" s="32" t="s">
        <v>32</v>
      </c>
      <c r="V27" s="362">
        <f>IF($U$11="", "",
   IF($U$27="Choose a Selection",0,
      INDEX($H$57:$P$68,
           MATCH($U$27,$F$57:$F$68,0),
           MATCH($U$11,$H$10:$P$10,0))))</f>
        <v>0</v>
      </c>
      <c r="W27" s="14"/>
      <c r="X27" s="3"/>
    </row>
    <row r="28" spans="1:25" ht="15.75" customHeight="1" x14ac:dyDescent="0.25">
      <c r="A28" s="11"/>
      <c r="B28" s="28">
        <v>8.125</v>
      </c>
      <c r="C28" s="515">
        <v>104.54650000000001</v>
      </c>
      <c r="D28" s="368">
        <v>104.24650000000001</v>
      </c>
      <c r="E28" s="14"/>
      <c r="F28" s="625" t="s">
        <v>60</v>
      </c>
      <c r="G28" s="626"/>
      <c r="H28" s="44">
        <v>-0.375</v>
      </c>
      <c r="I28" s="44">
        <v>-0.5</v>
      </c>
      <c r="J28" s="44">
        <v>-0.5</v>
      </c>
      <c r="K28" s="44">
        <v>-0.5</v>
      </c>
      <c r="L28" s="44">
        <v>-0.75</v>
      </c>
      <c r="M28" s="44">
        <v>-1</v>
      </c>
      <c r="N28" s="44">
        <v>-1.5</v>
      </c>
      <c r="O28" s="44" t="e">
        <v>#N/A</v>
      </c>
      <c r="P28" s="45" t="e">
        <v>#N/A</v>
      </c>
      <c r="Q28" s="14"/>
      <c r="R28" s="14"/>
      <c r="S28" s="627" t="s">
        <v>61</v>
      </c>
      <c r="T28" s="628"/>
      <c r="U28" s="32"/>
      <c r="V28" s="362">
        <v>0</v>
      </c>
      <c r="W28" s="14"/>
      <c r="X28" s="3"/>
    </row>
    <row r="29" spans="1:25" x14ac:dyDescent="0.25">
      <c r="A29" s="11"/>
      <c r="B29" s="28">
        <v>8.25</v>
      </c>
      <c r="C29" s="515">
        <v>104.79650000000001</v>
      </c>
      <c r="D29" s="368">
        <v>104.49650000000001</v>
      </c>
      <c r="E29" s="14"/>
      <c r="F29" s="625" t="s">
        <v>62</v>
      </c>
      <c r="G29" s="626"/>
      <c r="H29" s="44">
        <v>-0.125</v>
      </c>
      <c r="I29" s="44">
        <v>-0.25</v>
      </c>
      <c r="J29" s="44">
        <v>-0.25</v>
      </c>
      <c r="K29" s="44">
        <v>-0.25</v>
      </c>
      <c r="L29" s="44">
        <v>-0.25</v>
      </c>
      <c r="M29" s="44">
        <v>-0.25</v>
      </c>
      <c r="N29" s="44">
        <v>-0.375</v>
      </c>
      <c r="O29" s="44">
        <v>-0.375</v>
      </c>
      <c r="P29" s="45">
        <v>-0.5</v>
      </c>
      <c r="Q29" s="14"/>
      <c r="R29" s="14"/>
      <c r="S29" s="627" t="s">
        <v>63</v>
      </c>
      <c r="T29" s="628"/>
      <c r="U29" s="32" t="s">
        <v>32</v>
      </c>
      <c r="V29" s="362">
        <v>0</v>
      </c>
      <c r="W29" s="14"/>
      <c r="X29" s="47"/>
    </row>
    <row r="30" spans="1:25" x14ac:dyDescent="0.25">
      <c r="A30" s="11"/>
      <c r="B30" s="28">
        <v>8.375</v>
      </c>
      <c r="C30" s="515">
        <v>105.04650000000001</v>
      </c>
      <c r="D30" s="368">
        <v>104.74650000000001</v>
      </c>
      <c r="E30" s="14"/>
      <c r="F30" s="625" t="s">
        <v>64</v>
      </c>
      <c r="G30" s="626"/>
      <c r="H30" s="44">
        <v>-0.75</v>
      </c>
      <c r="I30" s="44">
        <v>-0.75</v>
      </c>
      <c r="J30" s="44">
        <v>-0.75</v>
      </c>
      <c r="K30" s="44">
        <v>-0.75</v>
      </c>
      <c r="L30" s="44">
        <v>-1</v>
      </c>
      <c r="M30" s="44">
        <v>-1.5</v>
      </c>
      <c r="N30" s="44">
        <v>-2</v>
      </c>
      <c r="O30" s="44" t="e">
        <v>#N/A</v>
      </c>
      <c r="P30" s="45" t="e">
        <v>#N/A</v>
      </c>
      <c r="Q30" s="14"/>
      <c r="R30" s="14"/>
      <c r="S30" s="627" t="s">
        <v>65</v>
      </c>
      <c r="T30" s="628"/>
      <c r="U30" s="48" t="s">
        <v>66</v>
      </c>
      <c r="V30" s="362" t="e">
        <f>'Feed(WS)'!$R$168</f>
        <v>#N/A</v>
      </c>
      <c r="W30" s="14"/>
    </row>
    <row r="31" spans="1:25" x14ac:dyDescent="0.25">
      <c r="A31" s="11"/>
      <c r="B31" s="28">
        <v>8.4990000000000006</v>
      </c>
      <c r="C31" s="515">
        <v>105.29650000000001</v>
      </c>
      <c r="D31" s="368">
        <v>104.99650000000001</v>
      </c>
      <c r="E31" s="14"/>
      <c r="F31" s="625" t="s">
        <v>739</v>
      </c>
      <c r="G31" s="626"/>
      <c r="H31" s="44">
        <v>0.25</v>
      </c>
      <c r="I31" s="44">
        <v>0.25</v>
      </c>
      <c r="J31" s="44">
        <v>0.25</v>
      </c>
      <c r="K31" s="44">
        <v>0.25</v>
      </c>
      <c r="L31" s="44">
        <v>0.25</v>
      </c>
      <c r="M31" s="44">
        <v>0.25</v>
      </c>
      <c r="N31" s="44">
        <v>0.25</v>
      </c>
      <c r="O31" s="44">
        <v>0.25</v>
      </c>
      <c r="P31" s="45">
        <v>0.25</v>
      </c>
      <c r="Q31" s="14"/>
      <c r="R31" s="14"/>
      <c r="S31" s="627" t="s">
        <v>67</v>
      </c>
      <c r="T31" s="628"/>
      <c r="U31" s="48" t="s">
        <v>32</v>
      </c>
      <c r="V31" s="362" cm="1">
        <f t="array" ref="V31">IF(OR(
      AND(OR($U$31='Feed(WS)'!$R$4:$R$5), $U$22&lt;&gt;'Feed(WS)'!$J$3),
      AND(OR($U$31='Feed(WS)'!$R$4:$R$5), $U$25&lt;&gt;'Feed(WS)'!$M$4),
      AND(OR($U$31='Feed(WS)'!$R$4:$R$5), $U$23&lt;&gt;'Feed(WS)'!$L$3:$L$4),
   ),
   NA(),
   0)</f>
        <v>0</v>
      </c>
      <c r="W31" s="14"/>
    </row>
    <row r="32" spans="1:25" x14ac:dyDescent="0.25">
      <c r="A32" s="11"/>
      <c r="B32" s="28">
        <v>8.625</v>
      </c>
      <c r="C32" s="515">
        <v>105.54650000000001</v>
      </c>
      <c r="D32" s="368">
        <v>105.24650000000001</v>
      </c>
      <c r="E32" s="14"/>
      <c r="F32" s="635" t="s">
        <v>48</v>
      </c>
      <c r="G32" s="636"/>
      <c r="H32" s="636"/>
      <c r="I32" s="636"/>
      <c r="J32" s="636"/>
      <c r="K32" s="636"/>
      <c r="L32" s="636"/>
      <c r="M32" s="636"/>
      <c r="N32" s="636"/>
      <c r="O32" s="636"/>
      <c r="P32" s="637"/>
      <c r="Q32" s="14"/>
      <c r="R32" s="14"/>
      <c r="S32" s="627" t="s">
        <v>70</v>
      </c>
      <c r="T32" s="628"/>
      <c r="U32" s="48" t="s">
        <v>32</v>
      </c>
      <c r="V32" s="362">
        <f>IF($U$11="","",
   IF($U$32="","",IF(OR($U$32="No",$U$32="Choose a Selection"),0,INDEX($H$70:$P$76,
              MATCH(IF($U$32="Yes",$S$32,$U$32),$F$70:$F$76,0),
              MATCH($U$11,$H$10:$P$10,0)))))</f>
        <v>0</v>
      </c>
      <c r="W32" s="14"/>
    </row>
    <row r="33" spans="1:25" ht="15.75" customHeight="1" x14ac:dyDescent="0.25">
      <c r="A33" s="11"/>
      <c r="B33" s="28">
        <v>8.75</v>
      </c>
      <c r="C33" s="515">
        <v>105.73450000000001</v>
      </c>
      <c r="D33" s="368">
        <v>105.43450000000001</v>
      </c>
      <c r="E33" s="14"/>
      <c r="F33" s="631" t="s">
        <v>69</v>
      </c>
      <c r="G33" s="632"/>
      <c r="H33" s="44">
        <v>0</v>
      </c>
      <c r="I33" s="44">
        <v>0</v>
      </c>
      <c r="J33" s="44">
        <v>0</v>
      </c>
      <c r="K33" s="44">
        <v>0</v>
      </c>
      <c r="L33" s="44">
        <v>0</v>
      </c>
      <c r="M33" s="44">
        <v>0</v>
      </c>
      <c r="N33" s="44">
        <v>0</v>
      </c>
      <c r="O33" s="44">
        <v>0</v>
      </c>
      <c r="P33" s="45">
        <v>0</v>
      </c>
      <c r="Q33" s="14"/>
      <c r="R33" s="14"/>
      <c r="S33" s="627" t="s">
        <v>72</v>
      </c>
      <c r="T33" s="628"/>
      <c r="U33" s="49" t="s">
        <v>32</v>
      </c>
      <c r="V33" s="362">
        <f>'Feed(WS)'!$B$67</f>
        <v>0</v>
      </c>
      <c r="W33" s="14"/>
    </row>
    <row r="34" spans="1:25" x14ac:dyDescent="0.25">
      <c r="A34" s="11"/>
      <c r="B34" s="28">
        <v>8.875</v>
      </c>
      <c r="C34" s="515">
        <v>105.92150000000001</v>
      </c>
      <c r="D34" s="368">
        <v>105.62150000000001</v>
      </c>
      <c r="E34" s="14"/>
      <c r="F34" s="631" t="s">
        <v>71</v>
      </c>
      <c r="G34" s="632"/>
      <c r="H34" s="44">
        <v>0</v>
      </c>
      <c r="I34" s="44">
        <v>0</v>
      </c>
      <c r="J34" s="44">
        <v>0</v>
      </c>
      <c r="K34" s="44">
        <v>0</v>
      </c>
      <c r="L34" s="44">
        <v>0</v>
      </c>
      <c r="M34" s="44">
        <v>0</v>
      </c>
      <c r="N34" s="44">
        <v>-0.125</v>
      </c>
      <c r="O34" s="44">
        <v>-0.125</v>
      </c>
      <c r="P34" s="45" t="e">
        <v>#N/A</v>
      </c>
      <c r="Q34" s="14"/>
      <c r="R34" s="14"/>
      <c r="S34" s="627" t="s">
        <v>771</v>
      </c>
      <c r="T34" s="628"/>
      <c r="U34" s="48" t="s">
        <v>32</v>
      </c>
      <c r="V34" s="362" t="str">
        <f>IF(U34="Tier 1 States",V78,IF(U34="Tier 2 States",V80,IF(U34="Tier 3 States",V82,"0.000")))</f>
        <v>0.000</v>
      </c>
      <c r="W34" s="14"/>
    </row>
    <row r="35" spans="1:25" ht="15.75" customHeight="1" x14ac:dyDescent="0.25">
      <c r="A35" s="11"/>
      <c r="B35" s="28">
        <v>8.9990000000000006</v>
      </c>
      <c r="C35" s="515">
        <v>106.10950000000001</v>
      </c>
      <c r="D35" s="368">
        <v>105.80950000000001</v>
      </c>
      <c r="E35" s="14"/>
      <c r="F35" s="631" t="s">
        <v>73</v>
      </c>
      <c r="G35" s="632"/>
      <c r="H35" s="44">
        <v>0</v>
      </c>
      <c r="I35" s="44">
        <v>-0.125</v>
      </c>
      <c r="J35" s="44">
        <v>-0.125</v>
      </c>
      <c r="K35" s="44">
        <v>-0.25</v>
      </c>
      <c r="L35" s="44">
        <v>-0.25</v>
      </c>
      <c r="M35" s="44">
        <v>-0.25</v>
      </c>
      <c r="N35" s="44">
        <v>-0.5</v>
      </c>
      <c r="O35" s="44" t="e">
        <v>#N/A</v>
      </c>
      <c r="P35" s="45" t="e">
        <v>#N/A</v>
      </c>
      <c r="Q35" s="14"/>
      <c r="R35" s="14"/>
      <c r="S35" s="627" t="str">
        <f>IF('Feed(WS)'!Z1=0,"",INDEX('Feed(WS)'!$AA$1:$AA$3,MATCH('Feed(WS)'!Z1,'Feed(WS)'!$Z$1:$Z$3,0)))</f>
        <v xml:space="preserve">Special </v>
      </c>
      <c r="T35" s="628"/>
      <c r="U35" s="49" t="str">
        <f>IF(V35=FALSE,"Not Applicable",'Feed(WS)'!Y5)</f>
        <v>Not Applicable</v>
      </c>
      <c r="V35" s="362" t="b">
        <f>'Feed(WS)'!$Z$1</f>
        <v>0</v>
      </c>
      <c r="W35" s="14"/>
    </row>
    <row r="36" spans="1:25" x14ac:dyDescent="0.25">
      <c r="A36" s="11"/>
      <c r="B36" s="28">
        <v>9.125</v>
      </c>
      <c r="C36" s="515">
        <v>106.29650000000001</v>
      </c>
      <c r="D36" s="368">
        <v>105.99650000000001</v>
      </c>
      <c r="E36" s="14"/>
      <c r="F36" s="631" t="s">
        <v>76</v>
      </c>
      <c r="G36" s="632"/>
      <c r="H36" s="44">
        <v>-0.25</v>
      </c>
      <c r="I36" s="44">
        <v>-0.25</v>
      </c>
      <c r="J36" s="44">
        <v>-0.25</v>
      </c>
      <c r="K36" s="44">
        <v>-0.25</v>
      </c>
      <c r="L36" s="44">
        <v>-0.25</v>
      </c>
      <c r="M36" s="44">
        <v>-0.5</v>
      </c>
      <c r="N36" s="44">
        <v>-0.5</v>
      </c>
      <c r="O36" s="44" t="e">
        <v>#N/A</v>
      </c>
      <c r="P36" s="45" t="e">
        <v>#N/A</v>
      </c>
      <c r="Q36" s="14"/>
      <c r="R36" s="14"/>
      <c r="S36" s="691" t="s">
        <v>78</v>
      </c>
      <c r="T36" s="692"/>
      <c r="U36" s="693"/>
      <c r="V36" s="469" t="e">
        <f>SUM($V$12:$V$35)</f>
        <v>#N/A</v>
      </c>
      <c r="W36" s="14"/>
    </row>
    <row r="37" spans="1:25" ht="15.75" customHeight="1" x14ac:dyDescent="0.25">
      <c r="A37" s="11"/>
      <c r="B37" s="28">
        <v>9.25</v>
      </c>
      <c r="C37" s="515">
        <v>106.48450000000001</v>
      </c>
      <c r="D37" s="368">
        <v>106.18450000000001</v>
      </c>
      <c r="E37" s="14"/>
      <c r="F37" s="631" t="s">
        <v>77</v>
      </c>
      <c r="G37" s="632"/>
      <c r="H37" s="44">
        <v>-0.5</v>
      </c>
      <c r="I37" s="44">
        <v>-0.5</v>
      </c>
      <c r="J37" s="44">
        <v>-0.625</v>
      </c>
      <c r="K37" s="44">
        <v>-0.625</v>
      </c>
      <c r="L37" s="44">
        <v>-0.75</v>
      </c>
      <c r="M37" s="44">
        <v>-1</v>
      </c>
      <c r="N37" s="44" t="e">
        <v>#N/A</v>
      </c>
      <c r="O37" s="44" t="e">
        <v>#N/A</v>
      </c>
      <c r="P37" s="45" t="e">
        <v>#N/A</v>
      </c>
      <c r="Q37" s="50"/>
      <c r="R37" s="14"/>
      <c r="S37" s="691" t="s">
        <v>80</v>
      </c>
      <c r="T37" s="692"/>
      <c r="U37" s="693"/>
      <c r="V37" s="469" t="str">
        <f>IFERROR(INDEX(C10:D50, MATCH(U10, B10:B50, 0), MATCH(U17, C10:D10, 0)), "#N/A")</f>
        <v>#N/A</v>
      </c>
      <c r="W37" s="14"/>
      <c r="Y37" s="47"/>
    </row>
    <row r="38" spans="1:25" ht="15.75" customHeight="1" x14ac:dyDescent="0.25">
      <c r="A38" s="11"/>
      <c r="B38" s="28">
        <v>9.375</v>
      </c>
      <c r="C38" s="515">
        <v>106.67150000000001</v>
      </c>
      <c r="D38" s="368">
        <v>106.37150000000001</v>
      </c>
      <c r="E38" s="14"/>
      <c r="F38" s="642" t="s">
        <v>79</v>
      </c>
      <c r="G38" s="643"/>
      <c r="H38" s="643"/>
      <c r="I38" s="643"/>
      <c r="J38" s="643"/>
      <c r="K38" s="643"/>
      <c r="L38" s="643"/>
      <c r="M38" s="643"/>
      <c r="N38" s="643"/>
      <c r="O38" s="643"/>
      <c r="P38" s="644"/>
      <c r="Q38" s="14"/>
      <c r="R38" s="14"/>
      <c r="S38" s="691" t="s">
        <v>82</v>
      </c>
      <c r="T38" s="692"/>
      <c r="U38" s="693"/>
      <c r="V38" s="469" t="str">
        <f>IFERROR(IF(AND(OR(U19='Feed(WS)'!P6),NonQM!U10&lt;NonQM!T69),"Minimum Rate",IF(AND($U$10&lt;&gt;'Feed(WS)'!$K$134,V39=T66),NA(),V37+V36+S84)),"Minimum Rate")</f>
        <v>Minimum Rate</v>
      </c>
      <c r="W38" s="14"/>
    </row>
    <row r="39" spans="1:25" x14ac:dyDescent="0.25">
      <c r="A39" s="11"/>
      <c r="B39" s="28">
        <v>9.4990000000000006</v>
      </c>
      <c r="C39" s="515">
        <v>106.85950000000001</v>
      </c>
      <c r="D39" s="368">
        <v>106.55950000000001</v>
      </c>
      <c r="E39" s="14"/>
      <c r="F39" s="631" t="s">
        <v>81</v>
      </c>
      <c r="G39" s="632"/>
      <c r="H39" s="44">
        <v>-0.5</v>
      </c>
      <c r="I39" s="44">
        <v>-0.75</v>
      </c>
      <c r="J39" s="44">
        <v>-0.75</v>
      </c>
      <c r="K39" s="44">
        <v>-0.75</v>
      </c>
      <c r="L39" s="44">
        <v>-0.75</v>
      </c>
      <c r="M39" s="44">
        <v>-0.875</v>
      </c>
      <c r="N39" s="44">
        <v>-1</v>
      </c>
      <c r="O39" s="44">
        <v>-1.25</v>
      </c>
      <c r="P39" s="45">
        <v>-1.25</v>
      </c>
      <c r="Q39" s="14"/>
      <c r="R39" s="14"/>
      <c r="S39" s="691" t="s">
        <v>84</v>
      </c>
      <c r="T39" s="692"/>
      <c r="U39" s="693"/>
      <c r="V39" s="469" t="e">
        <f>IF(OR('Feed(WS)'!$E$147=0, ISERROR('Feed(WS)'!$E$147)), NA(), 'Feed(WS)'!$E$147)</f>
        <v>#N/A</v>
      </c>
      <c r="W39" s="14"/>
    </row>
    <row r="40" spans="1:25" ht="14.25" customHeight="1" x14ac:dyDescent="0.25">
      <c r="A40" s="11"/>
      <c r="B40" s="28">
        <v>9.625</v>
      </c>
      <c r="C40" s="515">
        <v>107.04650000000001</v>
      </c>
      <c r="D40" s="368">
        <v>106.74650000000001</v>
      </c>
      <c r="E40" s="14"/>
      <c r="F40" s="631" t="s">
        <v>83</v>
      </c>
      <c r="G40" s="632"/>
      <c r="H40" s="44">
        <v>0</v>
      </c>
      <c r="I40" s="44">
        <v>0</v>
      </c>
      <c r="J40" s="44">
        <v>-0.125</v>
      </c>
      <c r="K40" s="44">
        <v>-0.125</v>
      </c>
      <c r="L40" s="44">
        <v>-0.125</v>
      </c>
      <c r="M40" s="44">
        <v>-0.125</v>
      </c>
      <c r="N40" s="44">
        <v>-0.25</v>
      </c>
      <c r="O40" s="44">
        <v>-0.25</v>
      </c>
      <c r="P40" s="45">
        <v>-0.25</v>
      </c>
      <c r="Q40" s="14"/>
      <c r="R40" s="14"/>
      <c r="S40" s="694" t="s">
        <v>86</v>
      </c>
      <c r="T40" s="695"/>
      <c r="U40" s="696"/>
      <c r="V40" s="51" t="e">
        <f>IF(OR($V$36="#NA",$V$37="#NA"),NA(),IF(AND($U$10&lt;&gt;'Feed(WS)'!$K$134,$V$39=$T$66),NA(),IF($V$38&gt;$V$39,$V$39,$V$38)))</f>
        <v>#N/A</v>
      </c>
      <c r="W40" s="14"/>
    </row>
    <row r="41" spans="1:25" ht="14.25" customHeight="1" thickBot="1" x14ac:dyDescent="0.3">
      <c r="A41" s="11"/>
      <c r="B41" s="28">
        <v>9.75</v>
      </c>
      <c r="C41" s="515">
        <v>107.23450000000001</v>
      </c>
      <c r="D41" s="368">
        <v>106.93450000000001</v>
      </c>
      <c r="E41" s="14"/>
      <c r="F41" s="631" t="s">
        <v>777</v>
      </c>
      <c r="G41" s="632"/>
      <c r="H41" s="44">
        <v>0.125</v>
      </c>
      <c r="I41" s="44">
        <v>0.125</v>
      </c>
      <c r="J41" s="44">
        <v>0.125</v>
      </c>
      <c r="K41" s="44">
        <v>0.125</v>
      </c>
      <c r="L41" s="44">
        <v>0.125</v>
      </c>
      <c r="M41" s="44">
        <v>0.125</v>
      </c>
      <c r="N41" s="44">
        <v>0.125</v>
      </c>
      <c r="O41" s="44">
        <v>0</v>
      </c>
      <c r="P41" s="45">
        <v>0</v>
      </c>
      <c r="Q41" s="14"/>
      <c r="R41" s="14"/>
      <c r="S41" s="697" t="str" cm="1">
        <f t="array" ref="S41">IF(OR($U$11:$U$25="Choose a Selection"),"",CONCATENATE('Feed(WS)'!$I$134," ",'Feed(WS)'!$K$134,"%"&amp;" @ "&amp;'Feed(WS)'!$L$134))</f>
        <v/>
      </c>
      <c r="T41" s="698"/>
      <c r="U41" s="698"/>
      <c r="V41" s="699"/>
      <c r="W41" s="14"/>
    </row>
    <row r="42" spans="1:25" ht="15.75" customHeight="1" thickBot="1" x14ac:dyDescent="0.3">
      <c r="A42" s="11"/>
      <c r="B42" s="28">
        <v>9.875</v>
      </c>
      <c r="C42" s="515">
        <v>107.35950000000001</v>
      </c>
      <c r="D42" s="368">
        <v>107.05950000000001</v>
      </c>
      <c r="E42" s="14"/>
      <c r="F42" s="631" t="s">
        <v>778</v>
      </c>
      <c r="G42" s="632"/>
      <c r="H42" s="44">
        <v>0.375</v>
      </c>
      <c r="I42" s="44">
        <v>0.375</v>
      </c>
      <c r="J42" s="44">
        <v>0.375</v>
      </c>
      <c r="K42" s="44">
        <v>0.375</v>
      </c>
      <c r="L42" s="44">
        <v>0.375</v>
      </c>
      <c r="M42" s="44">
        <v>0.25</v>
      </c>
      <c r="N42" s="44">
        <v>0.25</v>
      </c>
      <c r="O42" s="44">
        <v>0.25</v>
      </c>
      <c r="P42" s="45">
        <v>0.25</v>
      </c>
      <c r="Q42" s="14"/>
      <c r="R42" s="14"/>
      <c r="S42" s="633" t="s">
        <v>761</v>
      </c>
      <c r="T42" s="667"/>
      <c r="U42" s="667"/>
      <c r="V42" s="634"/>
      <c r="W42" s="14"/>
    </row>
    <row r="43" spans="1:25" ht="14.25" customHeight="1" thickBot="1" x14ac:dyDescent="0.3">
      <c r="A43" s="11"/>
      <c r="B43" s="28">
        <v>9.9990000000000006</v>
      </c>
      <c r="C43" s="515">
        <v>107.48450000000001</v>
      </c>
      <c r="D43" s="368">
        <v>107.18450000000001</v>
      </c>
      <c r="E43" s="14"/>
      <c r="F43" s="638" t="s">
        <v>87</v>
      </c>
      <c r="G43" s="639"/>
      <c r="H43" s="44">
        <v>0.625</v>
      </c>
      <c r="I43" s="44">
        <v>0.375</v>
      </c>
      <c r="J43" s="44">
        <v>0.375</v>
      </c>
      <c r="K43" s="44">
        <v>0.25</v>
      </c>
      <c r="L43" s="44">
        <v>0.25</v>
      </c>
      <c r="M43" s="44">
        <v>0.25</v>
      </c>
      <c r="N43" s="44">
        <v>0.25</v>
      </c>
      <c r="O43" s="44">
        <v>0</v>
      </c>
      <c r="P43" s="45">
        <v>0</v>
      </c>
      <c r="Q43" s="52"/>
      <c r="R43" s="14"/>
      <c r="S43" s="633" t="s">
        <v>762</v>
      </c>
      <c r="T43" s="634"/>
      <c r="U43" s="668">
        <v>500000</v>
      </c>
      <c r="V43" s="669"/>
      <c r="W43" s="14"/>
    </row>
    <row r="44" spans="1:25" ht="15.75" customHeight="1" thickBot="1" x14ac:dyDescent="0.3">
      <c r="A44" s="11"/>
      <c r="B44" s="28">
        <v>10.125</v>
      </c>
      <c r="C44" s="515">
        <v>107.60950000000001</v>
      </c>
      <c r="D44" s="368">
        <v>107.30950000000001</v>
      </c>
      <c r="E44" s="14"/>
      <c r="F44" s="638" t="s">
        <v>88</v>
      </c>
      <c r="G44" s="639"/>
      <c r="H44" s="44">
        <v>0.25</v>
      </c>
      <c r="I44" s="44">
        <v>0.25</v>
      </c>
      <c r="J44" s="44">
        <v>0.125</v>
      </c>
      <c r="K44" s="44">
        <v>0.125</v>
      </c>
      <c r="L44" s="44">
        <v>0.125</v>
      </c>
      <c r="M44" s="44">
        <v>0.125</v>
      </c>
      <c r="N44" s="44">
        <v>0.125</v>
      </c>
      <c r="O44" s="44">
        <v>0</v>
      </c>
      <c r="P44" s="45">
        <v>0</v>
      </c>
      <c r="Q44" s="14"/>
      <c r="R44" s="14"/>
      <c r="S44" s="633" t="s">
        <v>763</v>
      </c>
      <c r="T44" s="634"/>
      <c r="U44" s="483">
        <v>2.25</v>
      </c>
      <c r="V44" s="484">
        <f>U44/100*U43</f>
        <v>11250</v>
      </c>
      <c r="W44" s="14"/>
    </row>
    <row r="45" spans="1:25" ht="14.25" customHeight="1" thickBot="1" x14ac:dyDescent="0.3">
      <c r="A45" s="11"/>
      <c r="B45" s="28">
        <v>10.25</v>
      </c>
      <c r="C45" s="515">
        <v>107.73450000000001</v>
      </c>
      <c r="D45" s="368">
        <v>107.43450000000001</v>
      </c>
      <c r="E45" s="14"/>
      <c r="F45" s="638" t="s">
        <v>90</v>
      </c>
      <c r="G45" s="639"/>
      <c r="H45" s="44">
        <v>-0.25</v>
      </c>
      <c r="I45" s="44">
        <v>-0.25</v>
      </c>
      <c r="J45" s="44">
        <v>-0.25</v>
      </c>
      <c r="K45" s="44">
        <v>-0.25</v>
      </c>
      <c r="L45" s="44">
        <v>-0.25</v>
      </c>
      <c r="M45" s="44">
        <v>-0.25</v>
      </c>
      <c r="N45" s="44">
        <v>-0.375</v>
      </c>
      <c r="O45" s="44">
        <v>-0.5</v>
      </c>
      <c r="P45" s="45" t="e">
        <v>#N/A</v>
      </c>
      <c r="Q45" s="14"/>
      <c r="R45" s="14"/>
      <c r="S45" s="633" t="s">
        <v>764</v>
      </c>
      <c r="T45" s="634"/>
      <c r="U45" s="482"/>
      <c r="V45" s="485">
        <f>U45/U43*100</f>
        <v>0</v>
      </c>
      <c r="W45" s="14"/>
    </row>
    <row r="46" spans="1:25" ht="14.25" customHeight="1" thickBot="1" x14ac:dyDescent="0.3">
      <c r="A46" s="11"/>
      <c r="B46" s="28">
        <v>10.375</v>
      </c>
      <c r="C46" s="515">
        <v>107.85950000000001</v>
      </c>
      <c r="D46" s="368">
        <v>107.55950000000001</v>
      </c>
      <c r="E46" s="14"/>
      <c r="F46" s="638" t="s">
        <v>91</v>
      </c>
      <c r="G46" s="639"/>
      <c r="H46" s="44">
        <v>-0.5</v>
      </c>
      <c r="I46" s="44">
        <v>-0.5</v>
      </c>
      <c r="J46" s="44">
        <v>-0.5</v>
      </c>
      <c r="K46" s="44">
        <v>-0.5</v>
      </c>
      <c r="L46" s="44">
        <v>-0.5</v>
      </c>
      <c r="M46" s="44">
        <v>-0.5</v>
      </c>
      <c r="N46" s="44">
        <v>-0.5</v>
      </c>
      <c r="O46" s="44" t="e">
        <v>#N/A</v>
      </c>
      <c r="P46" s="45" t="e">
        <v>#N/A</v>
      </c>
      <c r="Q46" s="14"/>
      <c r="R46" s="14"/>
      <c r="S46" s="633" t="s">
        <v>765</v>
      </c>
      <c r="T46" s="634"/>
      <c r="U46" s="617">
        <f>U44+V45</f>
        <v>2.25</v>
      </c>
      <c r="V46" s="618"/>
      <c r="W46" s="14"/>
    </row>
    <row r="47" spans="1:25" ht="14.25" customHeight="1" thickBot="1" x14ac:dyDescent="0.3">
      <c r="A47" s="11"/>
      <c r="B47" s="28">
        <v>10.499000000000001</v>
      </c>
      <c r="C47" s="515">
        <v>107.98450000000001</v>
      </c>
      <c r="D47" s="368">
        <v>107.68450000000001</v>
      </c>
      <c r="E47" s="14"/>
      <c r="F47" s="638" t="s">
        <v>92</v>
      </c>
      <c r="G47" s="639"/>
      <c r="H47" s="44">
        <v>-1</v>
      </c>
      <c r="I47" s="44">
        <v>-1</v>
      </c>
      <c r="J47" s="44">
        <v>-1</v>
      </c>
      <c r="K47" s="44">
        <v>-1</v>
      </c>
      <c r="L47" s="44">
        <v>-1</v>
      </c>
      <c r="M47" s="44">
        <v>-1</v>
      </c>
      <c r="N47" s="44">
        <v>-1</v>
      </c>
      <c r="O47" s="44" t="e">
        <v>#N/A</v>
      </c>
      <c r="P47" s="45" t="e">
        <v>#N/A</v>
      </c>
      <c r="Q47" s="14"/>
      <c r="R47" s="14"/>
      <c r="S47" s="700" t="s">
        <v>766</v>
      </c>
      <c r="T47" s="701"/>
      <c r="U47" s="702" t="e">
        <f>V40-U46</f>
        <v>#N/A</v>
      </c>
      <c r="V47" s="703"/>
      <c r="W47" s="14"/>
    </row>
    <row r="48" spans="1:25" ht="15.75" customHeight="1" x14ac:dyDescent="0.25">
      <c r="A48" s="11"/>
      <c r="B48" s="28">
        <v>10.625</v>
      </c>
      <c r="C48" s="515">
        <v>108.10950000000001</v>
      </c>
      <c r="D48" s="368">
        <v>107.80950000000001</v>
      </c>
      <c r="E48" s="14"/>
      <c r="F48" s="638" t="s">
        <v>93</v>
      </c>
      <c r="G48" s="639"/>
      <c r="H48" s="44">
        <v>-2</v>
      </c>
      <c r="I48" s="44">
        <v>-2</v>
      </c>
      <c r="J48" s="44">
        <v>-2</v>
      </c>
      <c r="K48" s="44">
        <v>-2</v>
      </c>
      <c r="L48" s="44">
        <v>-2</v>
      </c>
      <c r="M48" s="44" t="e">
        <v>#N/A</v>
      </c>
      <c r="N48" s="44" t="e">
        <v>#N/A</v>
      </c>
      <c r="O48" s="44" t="e">
        <v>#N/A</v>
      </c>
      <c r="P48" s="45" t="e">
        <v>#N/A</v>
      </c>
      <c r="Q48" s="14"/>
      <c r="R48" s="14"/>
      <c r="S48" s="707" t="s">
        <v>937</v>
      </c>
      <c r="T48" s="708"/>
      <c r="U48" s="708"/>
      <c r="V48" s="709"/>
      <c r="W48" s="14"/>
    </row>
    <row r="49" spans="1:23" ht="15.75" customHeight="1" x14ac:dyDescent="0.25">
      <c r="A49" s="11"/>
      <c r="B49" s="28"/>
      <c r="C49" s="28"/>
      <c r="D49" s="28"/>
      <c r="E49" s="14"/>
      <c r="F49" s="638" t="s">
        <v>94</v>
      </c>
      <c r="G49" s="639"/>
      <c r="H49" s="44">
        <v>-3</v>
      </c>
      <c r="I49" s="44">
        <v>-3</v>
      </c>
      <c r="J49" s="44">
        <v>-3</v>
      </c>
      <c r="K49" s="44">
        <v>-3</v>
      </c>
      <c r="L49" s="44" t="e">
        <v>#N/A</v>
      </c>
      <c r="M49" s="44" t="e">
        <v>#N/A</v>
      </c>
      <c r="N49" s="44" t="e">
        <v>#N/A</v>
      </c>
      <c r="O49" s="44" t="e">
        <v>#N/A</v>
      </c>
      <c r="P49" s="45" t="e">
        <v>#N/A</v>
      </c>
      <c r="Q49" s="14"/>
      <c r="R49" s="14"/>
      <c r="S49" s="707"/>
      <c r="T49" s="708"/>
      <c r="U49" s="708"/>
      <c r="V49" s="709"/>
      <c r="W49" s="14"/>
    </row>
    <row r="50" spans="1:23" x14ac:dyDescent="0.25">
      <c r="A50" s="11"/>
      <c r="B50" s="28"/>
      <c r="C50" s="28"/>
      <c r="D50" s="28"/>
      <c r="E50" s="14"/>
      <c r="F50" s="642" t="s">
        <v>96</v>
      </c>
      <c r="G50" s="643"/>
      <c r="H50" s="643"/>
      <c r="I50" s="643"/>
      <c r="J50" s="643"/>
      <c r="K50" s="643"/>
      <c r="L50" s="643"/>
      <c r="M50" s="643"/>
      <c r="N50" s="643"/>
      <c r="O50" s="643"/>
      <c r="P50" s="644"/>
      <c r="Q50" s="14"/>
      <c r="R50" s="14"/>
      <c r="S50" s="707"/>
      <c r="T50" s="708"/>
      <c r="U50" s="708"/>
      <c r="V50" s="709"/>
      <c r="W50" s="53"/>
    </row>
    <row r="51" spans="1:23" ht="13.5" customHeight="1" x14ac:dyDescent="0.25">
      <c r="A51" s="14"/>
      <c r="B51" s="735"/>
      <c r="C51" s="736"/>
      <c r="D51" s="736"/>
      <c r="E51" s="54"/>
      <c r="F51" s="631" t="s">
        <v>97</v>
      </c>
      <c r="G51" s="632"/>
      <c r="H51" s="44">
        <v>0</v>
      </c>
      <c r="I51" s="44">
        <v>0</v>
      </c>
      <c r="J51" s="44">
        <v>-0.125</v>
      </c>
      <c r="K51" s="44">
        <v>-0.375</v>
      </c>
      <c r="L51" s="44">
        <v>-0.375</v>
      </c>
      <c r="M51" s="44">
        <v>-0.375</v>
      </c>
      <c r="N51" s="44">
        <v>-0.375</v>
      </c>
      <c r="O51" s="44">
        <v>-0.5</v>
      </c>
      <c r="P51" s="45" t="e">
        <v>#N/A</v>
      </c>
      <c r="Q51" s="14"/>
      <c r="R51" s="54"/>
      <c r="S51" s="707" t="s">
        <v>95</v>
      </c>
      <c r="T51" s="708"/>
      <c r="U51" s="708"/>
      <c r="V51" s="709"/>
      <c r="W51" s="56"/>
    </row>
    <row r="52" spans="1:23" x14ac:dyDescent="0.25">
      <c r="A52" s="14"/>
      <c r="B52" s="737"/>
      <c r="C52" s="738"/>
      <c r="D52" s="738"/>
      <c r="E52" s="14"/>
      <c r="F52" s="631" t="s">
        <v>98</v>
      </c>
      <c r="G52" s="632"/>
      <c r="H52" s="44">
        <v>-0.25</v>
      </c>
      <c r="I52" s="44">
        <v>-0.25</v>
      </c>
      <c r="J52" s="44">
        <v>-0.25</v>
      </c>
      <c r="K52" s="44">
        <v>-0.5</v>
      </c>
      <c r="L52" s="44">
        <v>-0.5</v>
      </c>
      <c r="M52" s="44">
        <v>-0.5</v>
      </c>
      <c r="N52" s="44">
        <v>-0.5</v>
      </c>
      <c r="O52" s="44">
        <v>-0.5</v>
      </c>
      <c r="P52" s="45" t="e">
        <v>#N/A</v>
      </c>
      <c r="Q52" s="14"/>
      <c r="R52" s="14"/>
      <c r="S52" s="707"/>
      <c r="T52" s="708"/>
      <c r="U52" s="708"/>
      <c r="V52" s="709"/>
      <c r="W52" s="56"/>
    </row>
    <row r="53" spans="1:23" x14ac:dyDescent="0.25">
      <c r="A53" s="14"/>
      <c r="B53" s="704"/>
      <c r="C53" s="705"/>
      <c r="D53" s="705"/>
      <c r="E53" s="14"/>
      <c r="F53" s="631" t="s">
        <v>99</v>
      </c>
      <c r="G53" s="632"/>
      <c r="H53" s="44">
        <v>-1</v>
      </c>
      <c r="I53" s="44">
        <v>-1</v>
      </c>
      <c r="J53" s="44">
        <v>-1</v>
      </c>
      <c r="K53" s="44">
        <v>-1</v>
      </c>
      <c r="L53" s="44">
        <v>-1.25</v>
      </c>
      <c r="M53" s="44">
        <v>-1.5</v>
      </c>
      <c r="N53" s="44" t="e">
        <v>#N/A</v>
      </c>
      <c r="O53" s="44" t="e">
        <v>#N/A</v>
      </c>
      <c r="P53" s="45" t="e">
        <v>#N/A</v>
      </c>
      <c r="Q53" s="14"/>
      <c r="R53" s="14"/>
      <c r="S53" s="470"/>
      <c r="T53" s="471"/>
      <c r="U53" s="471"/>
      <c r="V53" s="472"/>
      <c r="W53" s="56"/>
    </row>
    <row r="54" spans="1:23" x14ac:dyDescent="0.25">
      <c r="A54" s="14"/>
      <c r="B54" s="704"/>
      <c r="C54" s="705"/>
      <c r="D54" s="705"/>
      <c r="E54" s="60"/>
      <c r="F54" s="631" t="s">
        <v>100</v>
      </c>
      <c r="G54" s="632"/>
      <c r="H54" s="44">
        <v>0</v>
      </c>
      <c r="I54" s="44">
        <v>0</v>
      </c>
      <c r="J54" s="44">
        <v>0</v>
      </c>
      <c r="K54" s="44">
        <v>0</v>
      </c>
      <c r="L54" s="44">
        <v>0</v>
      </c>
      <c r="M54" s="44">
        <v>0</v>
      </c>
      <c r="N54" s="44">
        <v>0</v>
      </c>
      <c r="O54" s="44">
        <v>0</v>
      </c>
      <c r="P54" s="45" t="e">
        <v>#N/A</v>
      </c>
      <c r="Q54" s="14"/>
      <c r="R54" s="14"/>
      <c r="S54" s="704"/>
      <c r="T54" s="705"/>
      <c r="U54" s="705"/>
      <c r="V54" s="706"/>
      <c r="W54" s="56"/>
    </row>
    <row r="55" spans="1:23" x14ac:dyDescent="0.25">
      <c r="A55" s="14"/>
      <c r="B55" s="41" t="s">
        <v>65</v>
      </c>
      <c r="C55" s="43" t="s">
        <v>102</v>
      </c>
      <c r="D55" s="43"/>
      <c r="E55" s="14"/>
      <c r="F55" s="631" t="s">
        <v>101</v>
      </c>
      <c r="G55" s="632"/>
      <c r="H55" s="44">
        <v>-0.125</v>
      </c>
      <c r="I55" s="44">
        <v>-0.125</v>
      </c>
      <c r="J55" s="44">
        <v>-0.25</v>
      </c>
      <c r="K55" s="44">
        <v>-0.25</v>
      </c>
      <c r="L55" s="44">
        <v>-0.25</v>
      </c>
      <c r="M55" s="44">
        <v>-0.5</v>
      </c>
      <c r="N55" s="44">
        <v>-0.625</v>
      </c>
      <c r="O55" s="44" t="e">
        <v>#N/A</v>
      </c>
      <c r="P55" s="45" t="e">
        <v>#N/A</v>
      </c>
      <c r="Q55" s="14"/>
      <c r="R55" s="14"/>
      <c r="S55" s="635" t="s">
        <v>104</v>
      </c>
      <c r="T55" s="637"/>
      <c r="U55" s="41" t="s">
        <v>105</v>
      </c>
      <c r="V55" s="43" t="s">
        <v>106</v>
      </c>
      <c r="W55" s="56"/>
    </row>
    <row r="56" spans="1:23" ht="15.75" thickBot="1" x14ac:dyDescent="0.3">
      <c r="A56" s="14"/>
      <c r="B56" s="61" t="s">
        <v>107</v>
      </c>
      <c r="C56" s="62">
        <v>-0.25</v>
      </c>
      <c r="D56" s="62"/>
      <c r="E56" s="64"/>
      <c r="F56" s="645" t="s">
        <v>59</v>
      </c>
      <c r="G56" s="646"/>
      <c r="H56" s="646"/>
      <c r="I56" s="646"/>
      <c r="J56" s="646"/>
      <c r="K56" s="646"/>
      <c r="L56" s="646"/>
      <c r="M56" s="646"/>
      <c r="N56" s="646"/>
      <c r="O56" s="646"/>
      <c r="P56" s="646"/>
      <c r="Q56" s="14"/>
      <c r="R56" s="14"/>
      <c r="S56" s="65" t="s">
        <v>109</v>
      </c>
      <c r="T56" s="66">
        <v>102</v>
      </c>
      <c r="U56" s="67" t="s">
        <v>110</v>
      </c>
      <c r="V56" s="68" t="s">
        <v>111</v>
      </c>
      <c r="W56" s="56"/>
    </row>
    <row r="57" spans="1:23" x14ac:dyDescent="0.25">
      <c r="A57" s="14"/>
      <c r="B57" s="61" t="s">
        <v>112</v>
      </c>
      <c r="C57" s="62">
        <v>-0.5</v>
      </c>
      <c r="D57" s="62"/>
      <c r="E57" s="14"/>
      <c r="F57" s="652" t="s">
        <v>103</v>
      </c>
      <c r="G57" s="653"/>
      <c r="H57" s="259">
        <v>-1</v>
      </c>
      <c r="I57" s="259">
        <v>-1</v>
      </c>
      <c r="J57" s="259">
        <v>-1</v>
      </c>
      <c r="K57" s="259">
        <v>-1</v>
      </c>
      <c r="L57" s="259">
        <v>-1</v>
      </c>
      <c r="M57" s="259">
        <v>-1</v>
      </c>
      <c r="N57" s="259">
        <v>-1</v>
      </c>
      <c r="O57" s="259" t="e">
        <v>#N/A</v>
      </c>
      <c r="P57" s="260" t="e">
        <v>#N/A</v>
      </c>
      <c r="Q57" s="70"/>
      <c r="R57" s="14"/>
      <c r="S57" s="65" t="s">
        <v>91</v>
      </c>
      <c r="T57" s="71">
        <v>101</v>
      </c>
      <c r="U57" s="67" t="s">
        <v>114</v>
      </c>
      <c r="V57" s="68" t="s">
        <v>115</v>
      </c>
      <c r="W57" s="56"/>
    </row>
    <row r="58" spans="1:23" x14ac:dyDescent="0.25">
      <c r="A58" s="14"/>
      <c r="B58" s="739" t="s">
        <v>116</v>
      </c>
      <c r="C58" s="740"/>
      <c r="D58" s="740"/>
      <c r="E58" s="14"/>
      <c r="F58" s="640" t="s">
        <v>108</v>
      </c>
      <c r="G58" s="641"/>
      <c r="H58" s="129">
        <v>-1.75</v>
      </c>
      <c r="I58" s="129">
        <v>-1.75</v>
      </c>
      <c r="J58" s="129">
        <v>-1.75</v>
      </c>
      <c r="K58" s="129">
        <v>-1.75</v>
      </c>
      <c r="L58" s="129">
        <v>-1.75</v>
      </c>
      <c r="M58" s="129">
        <v>-1.75</v>
      </c>
      <c r="N58" s="129">
        <v>-1.75</v>
      </c>
      <c r="O58" s="129" t="e">
        <v>#N/A</v>
      </c>
      <c r="P58" s="45" t="e">
        <v>#N/A</v>
      </c>
      <c r="Q58" s="70"/>
      <c r="R58" s="54"/>
      <c r="S58" s="65" t="s">
        <v>118</v>
      </c>
      <c r="T58" s="71">
        <v>101</v>
      </c>
      <c r="U58" s="67" t="s">
        <v>119</v>
      </c>
      <c r="V58" s="68" t="s">
        <v>120</v>
      </c>
      <c r="W58" s="56"/>
    </row>
    <row r="59" spans="1:23" ht="15" customHeight="1" x14ac:dyDescent="0.25">
      <c r="A59" s="14"/>
      <c r="B59" s="741" t="s">
        <v>121</v>
      </c>
      <c r="C59" s="742"/>
      <c r="D59" s="742"/>
      <c r="E59" s="14"/>
      <c r="F59" s="640" t="s">
        <v>113</v>
      </c>
      <c r="G59" s="641"/>
      <c r="H59" s="129">
        <v>-1</v>
      </c>
      <c r="I59" s="129">
        <v>-1</v>
      </c>
      <c r="J59" s="129">
        <v>-1</v>
      </c>
      <c r="K59" s="129">
        <v>-1</v>
      </c>
      <c r="L59" s="129">
        <v>-1</v>
      </c>
      <c r="M59" s="129">
        <v>-1</v>
      </c>
      <c r="N59" s="129">
        <v>-1</v>
      </c>
      <c r="O59" s="129">
        <v>-1</v>
      </c>
      <c r="P59" s="45" t="e">
        <v>#N/A</v>
      </c>
      <c r="Q59" s="70"/>
      <c r="R59" s="54"/>
      <c r="S59" s="65" t="s">
        <v>123</v>
      </c>
      <c r="T59" s="71">
        <v>100.5</v>
      </c>
      <c r="U59" s="67" t="s">
        <v>124</v>
      </c>
      <c r="V59" s="73" t="s">
        <v>125</v>
      </c>
      <c r="W59" s="56"/>
    </row>
    <row r="60" spans="1:23" ht="15" customHeight="1" x14ac:dyDescent="0.25">
      <c r="A60" s="14"/>
      <c r="B60" s="741"/>
      <c r="C60" s="742"/>
      <c r="D60" s="742"/>
      <c r="E60" s="14"/>
      <c r="F60" s="640" t="s">
        <v>117</v>
      </c>
      <c r="G60" s="641"/>
      <c r="H60" s="129">
        <v>-0.25</v>
      </c>
      <c r="I60" s="129">
        <v>-0.25</v>
      </c>
      <c r="J60" s="129">
        <v>-0.25</v>
      </c>
      <c r="K60" s="129">
        <v>-0.25</v>
      </c>
      <c r="L60" s="129">
        <v>-0.25</v>
      </c>
      <c r="M60" s="129">
        <v>-0.75</v>
      </c>
      <c r="N60" s="129">
        <v>-0.75</v>
      </c>
      <c r="O60" s="129">
        <v>-0.75</v>
      </c>
      <c r="P60" s="45" t="e">
        <v>#N/A</v>
      </c>
      <c r="Q60" s="14"/>
      <c r="R60" s="14"/>
      <c r="S60" s="65" t="s">
        <v>127</v>
      </c>
      <c r="T60" s="71">
        <v>100</v>
      </c>
      <c r="U60" s="67" t="s">
        <v>128</v>
      </c>
      <c r="V60" s="73" t="s">
        <v>129</v>
      </c>
      <c r="W60" s="56"/>
    </row>
    <row r="61" spans="1:23" ht="15" customHeight="1" x14ac:dyDescent="0.25">
      <c r="A61" s="14"/>
      <c r="B61" s="741"/>
      <c r="C61" s="742"/>
      <c r="D61" s="742"/>
      <c r="E61" s="14"/>
      <c r="F61" s="640" t="s">
        <v>122</v>
      </c>
      <c r="G61" s="641"/>
      <c r="H61" s="129">
        <v>0.25</v>
      </c>
      <c r="I61" s="129">
        <v>0.125</v>
      </c>
      <c r="J61" s="129">
        <v>0.125</v>
      </c>
      <c r="K61" s="129">
        <v>0.125</v>
      </c>
      <c r="L61" s="129">
        <v>0.125</v>
      </c>
      <c r="M61" s="129">
        <v>0.125</v>
      </c>
      <c r="N61" s="129">
        <v>0.125</v>
      </c>
      <c r="O61" s="129">
        <v>6.25E-2</v>
      </c>
      <c r="P61" s="45" t="e">
        <v>#N/A</v>
      </c>
      <c r="Q61" s="14"/>
      <c r="R61" s="14"/>
      <c r="S61" s="65" t="s">
        <v>131</v>
      </c>
      <c r="T61" s="71">
        <v>100</v>
      </c>
      <c r="U61" s="67" t="s">
        <v>120</v>
      </c>
      <c r="V61" s="75">
        <v>4</v>
      </c>
      <c r="W61" s="56"/>
    </row>
    <row r="62" spans="1:23" x14ac:dyDescent="0.25">
      <c r="A62" s="14"/>
      <c r="B62" s="741"/>
      <c r="C62" s="742"/>
      <c r="D62" s="742"/>
      <c r="E62" s="14"/>
      <c r="F62" s="640" t="s">
        <v>126</v>
      </c>
      <c r="G62" s="641"/>
      <c r="H62" s="129">
        <v>0.375</v>
      </c>
      <c r="I62" s="129">
        <v>0.25</v>
      </c>
      <c r="J62" s="129">
        <v>0.25</v>
      </c>
      <c r="K62" s="129">
        <v>0.25</v>
      </c>
      <c r="L62" s="129">
        <v>0.25</v>
      </c>
      <c r="M62" s="129">
        <v>0.25</v>
      </c>
      <c r="N62" s="129">
        <v>0.25</v>
      </c>
      <c r="O62" s="129">
        <v>0.125</v>
      </c>
      <c r="P62" s="45" t="e">
        <v>#N/A</v>
      </c>
      <c r="Q62" s="14"/>
      <c r="R62" s="54"/>
      <c r="S62" s="65" t="s">
        <v>133</v>
      </c>
      <c r="T62" s="71">
        <v>101.5</v>
      </c>
      <c r="U62" s="77" t="s">
        <v>105</v>
      </c>
      <c r="V62" s="78" t="s">
        <v>102</v>
      </c>
      <c r="W62" s="56"/>
    </row>
    <row r="63" spans="1:23" ht="15" customHeight="1" x14ac:dyDescent="0.25">
      <c r="A63" s="14"/>
      <c r="B63" s="741"/>
      <c r="C63" s="742"/>
      <c r="D63" s="742"/>
      <c r="E63" s="14"/>
      <c r="F63" s="640" t="s">
        <v>130</v>
      </c>
      <c r="G63" s="641"/>
      <c r="H63" s="129">
        <v>0.75</v>
      </c>
      <c r="I63" s="129">
        <v>0.625</v>
      </c>
      <c r="J63" s="129">
        <v>0.625</v>
      </c>
      <c r="K63" s="129">
        <v>0.625</v>
      </c>
      <c r="L63" s="129">
        <v>0.625</v>
      </c>
      <c r="M63" s="129">
        <v>0.625</v>
      </c>
      <c r="N63" s="129">
        <v>0.625</v>
      </c>
      <c r="O63" s="129">
        <v>0.5</v>
      </c>
      <c r="P63" s="45" t="e">
        <v>#N/A</v>
      </c>
      <c r="Q63" s="79"/>
      <c r="R63" s="54"/>
      <c r="S63" s="65" t="s">
        <v>892</v>
      </c>
      <c r="T63" s="71">
        <v>102</v>
      </c>
      <c r="U63" s="80" t="s">
        <v>136</v>
      </c>
      <c r="V63" s="81">
        <v>0.25</v>
      </c>
      <c r="W63" s="56"/>
    </row>
    <row r="64" spans="1:23" x14ac:dyDescent="0.25">
      <c r="A64" s="14"/>
      <c r="B64" s="741"/>
      <c r="C64" s="742"/>
      <c r="D64" s="742"/>
      <c r="E64" s="14"/>
      <c r="F64" s="640" t="s">
        <v>132</v>
      </c>
      <c r="G64" s="641"/>
      <c r="H64" s="129">
        <v>-0.75</v>
      </c>
      <c r="I64" s="129">
        <v>-0.75</v>
      </c>
      <c r="J64" s="129">
        <v>-0.75</v>
      </c>
      <c r="K64" s="129">
        <v>-0.75</v>
      </c>
      <c r="L64" s="129">
        <v>-0.75</v>
      </c>
      <c r="M64" s="129">
        <v>-0.75</v>
      </c>
      <c r="N64" s="129">
        <v>-0.75</v>
      </c>
      <c r="O64" s="129">
        <v>-0.75</v>
      </c>
      <c r="P64" s="45" t="e">
        <v>#N/A</v>
      </c>
      <c r="Q64" s="82"/>
      <c r="R64" s="54"/>
      <c r="S64" s="65" t="s">
        <v>893</v>
      </c>
      <c r="T64" s="71">
        <v>102.5</v>
      </c>
      <c r="U64" s="80" t="s">
        <v>54</v>
      </c>
      <c r="V64" s="81">
        <v>0</v>
      </c>
      <c r="W64" s="56"/>
    </row>
    <row r="65" spans="1:34" x14ac:dyDescent="0.25">
      <c r="A65" s="14"/>
      <c r="B65" s="741"/>
      <c r="C65" s="742"/>
      <c r="D65" s="742"/>
      <c r="E65" s="14"/>
      <c r="F65" s="640" t="s">
        <v>134</v>
      </c>
      <c r="G65" s="641"/>
      <c r="H65" s="129">
        <v>0</v>
      </c>
      <c r="I65" s="129">
        <v>0</v>
      </c>
      <c r="J65" s="129">
        <v>0</v>
      </c>
      <c r="K65" s="129">
        <v>0</v>
      </c>
      <c r="L65" s="129">
        <v>0</v>
      </c>
      <c r="M65" s="129">
        <v>0</v>
      </c>
      <c r="N65" s="129">
        <v>0</v>
      </c>
      <c r="O65" s="129">
        <v>-0.25</v>
      </c>
      <c r="P65" s="45" t="e">
        <v>#N/A</v>
      </c>
      <c r="Q65" s="52"/>
      <c r="R65" s="14"/>
      <c r="S65" s="642" t="s">
        <v>135</v>
      </c>
      <c r="T65" s="690"/>
      <c r="U65" s="80" t="s">
        <v>141</v>
      </c>
      <c r="V65" s="81">
        <v>-0.5</v>
      </c>
      <c r="W65" s="56"/>
    </row>
    <row r="66" spans="1:34" ht="15.75" customHeight="1" x14ac:dyDescent="0.25">
      <c r="A66" s="14"/>
      <c r="B66" s="741"/>
      <c r="C66" s="742"/>
      <c r="D66" s="742"/>
      <c r="E66" s="14"/>
      <c r="F66" s="640" t="s">
        <v>137</v>
      </c>
      <c r="G66" s="641"/>
      <c r="H66" s="129">
        <v>0.375</v>
      </c>
      <c r="I66" s="129">
        <v>0.375</v>
      </c>
      <c r="J66" s="129">
        <v>0.375</v>
      </c>
      <c r="K66" s="129">
        <v>0.375</v>
      </c>
      <c r="L66" s="129">
        <v>0.375</v>
      </c>
      <c r="M66" s="129">
        <v>0.375</v>
      </c>
      <c r="N66" s="129">
        <v>0.375</v>
      </c>
      <c r="O66" s="129">
        <v>0.375</v>
      </c>
      <c r="P66" s="45" t="e">
        <v>#N/A</v>
      </c>
      <c r="Q66" s="52"/>
      <c r="R66" s="14"/>
      <c r="S66" s="65" t="s">
        <v>138</v>
      </c>
      <c r="T66" s="76">
        <v>99.75</v>
      </c>
      <c r="U66" s="86" t="s">
        <v>143</v>
      </c>
      <c r="V66" s="81">
        <v>0.25</v>
      </c>
      <c r="W66" s="14"/>
    </row>
    <row r="67" spans="1:34" ht="15.75" customHeight="1" x14ac:dyDescent="0.25">
      <c r="A67" s="14"/>
      <c r="B67" s="741"/>
      <c r="C67" s="742"/>
      <c r="D67" s="742"/>
      <c r="E67" s="14"/>
      <c r="F67" s="640" t="s">
        <v>139</v>
      </c>
      <c r="G67" s="641"/>
      <c r="H67" s="129">
        <v>0.625</v>
      </c>
      <c r="I67" s="129">
        <v>0.42499999999999999</v>
      </c>
      <c r="J67" s="129">
        <v>0.42499999999999999</v>
      </c>
      <c r="K67" s="129">
        <v>0.42499999999999999</v>
      </c>
      <c r="L67" s="129">
        <v>0.42499999999999999</v>
      </c>
      <c r="M67" s="129">
        <v>0.42499999999999999</v>
      </c>
      <c r="N67" s="129">
        <v>0.42499999999999999</v>
      </c>
      <c r="O67" s="129">
        <v>0.42499999999999999</v>
      </c>
      <c r="P67" s="45" t="e">
        <v>#N/A</v>
      </c>
      <c r="Q67" s="52"/>
      <c r="R67" s="14"/>
      <c r="S67" s="642" t="s">
        <v>140</v>
      </c>
      <c r="T67" s="690"/>
      <c r="U67" s="80" t="s">
        <v>145</v>
      </c>
      <c r="V67" s="81">
        <v>-0.5</v>
      </c>
      <c r="W67" s="14"/>
      <c r="Y67" s="3"/>
    </row>
    <row r="68" spans="1:34" ht="15.75" thickBot="1" x14ac:dyDescent="0.3">
      <c r="A68" s="14"/>
      <c r="B68" s="741"/>
      <c r="C68" s="742"/>
      <c r="D68" s="742"/>
      <c r="E68" s="14"/>
      <c r="F68" s="647" t="s">
        <v>142</v>
      </c>
      <c r="G68" s="648"/>
      <c r="H68" s="150">
        <v>1</v>
      </c>
      <c r="I68" s="150">
        <v>0.75</v>
      </c>
      <c r="J68" s="150">
        <v>0.75</v>
      </c>
      <c r="K68" s="150">
        <v>0.75</v>
      </c>
      <c r="L68" s="150">
        <v>0.75</v>
      </c>
      <c r="M68" s="150">
        <v>0.75</v>
      </c>
      <c r="N68" s="150">
        <v>0.75</v>
      </c>
      <c r="O68" s="150">
        <v>0.75</v>
      </c>
      <c r="P68" s="261" t="e">
        <v>#N/A</v>
      </c>
      <c r="Q68" s="14"/>
      <c r="R68" s="14"/>
      <c r="S68" s="83" t="s">
        <v>91</v>
      </c>
      <c r="T68" s="84">
        <v>6.625</v>
      </c>
      <c r="U68" s="80" t="s">
        <v>148</v>
      </c>
      <c r="V68" s="81">
        <v>0.25</v>
      </c>
      <c r="W68" s="14"/>
      <c r="Y68" s="3"/>
      <c r="AD68" s="3"/>
      <c r="AE68" s="3"/>
      <c r="AF68" s="3"/>
      <c r="AG68" s="3"/>
      <c r="AH68" s="3"/>
    </row>
    <row r="69" spans="1:34" x14ac:dyDescent="0.25">
      <c r="A69" s="14"/>
      <c r="B69" s="741"/>
      <c r="C69" s="742"/>
      <c r="D69" s="742"/>
      <c r="E69" s="14"/>
      <c r="F69" s="649" t="s">
        <v>144</v>
      </c>
      <c r="G69" s="650"/>
      <c r="H69" s="650"/>
      <c r="I69" s="650"/>
      <c r="J69" s="650"/>
      <c r="K69" s="650"/>
      <c r="L69" s="650"/>
      <c r="M69" s="650"/>
      <c r="N69" s="650"/>
      <c r="O69" s="650"/>
      <c r="P69" s="651"/>
      <c r="Q69" s="14"/>
      <c r="R69" s="14"/>
      <c r="S69" s="83" t="s">
        <v>123</v>
      </c>
      <c r="T69" s="84">
        <v>7.375</v>
      </c>
      <c r="U69" s="80" t="s">
        <v>151</v>
      </c>
      <c r="V69" s="81">
        <v>-0.5</v>
      </c>
      <c r="W69" s="14"/>
      <c r="X69" s="3"/>
      <c r="Y69" s="3"/>
      <c r="AD69" s="3"/>
      <c r="AE69" s="3"/>
      <c r="AF69" s="3"/>
      <c r="AG69" s="3"/>
      <c r="AH69" s="3"/>
    </row>
    <row r="70" spans="1:34" ht="15.75" customHeight="1" x14ac:dyDescent="0.25">
      <c r="A70" s="14"/>
      <c r="B70" s="741"/>
      <c r="C70" s="742"/>
      <c r="D70" s="742"/>
      <c r="E70" s="14"/>
      <c r="F70" s="640" t="s">
        <v>146</v>
      </c>
      <c r="G70" s="641"/>
      <c r="H70" s="434">
        <v>-0.25</v>
      </c>
      <c r="I70" s="434">
        <v>-0.25</v>
      </c>
      <c r="J70" s="434">
        <v>-0.5</v>
      </c>
      <c r="K70" s="434">
        <v>-0.5</v>
      </c>
      <c r="L70" s="434">
        <v>-0.5</v>
      </c>
      <c r="M70" s="434">
        <v>-0.5</v>
      </c>
      <c r="N70" s="434">
        <v>-0.5</v>
      </c>
      <c r="O70" s="434" t="e">
        <v>#N/A</v>
      </c>
      <c r="P70" s="462" t="e">
        <v>#N/A</v>
      </c>
      <c r="Q70" s="14"/>
      <c r="R70" s="14"/>
      <c r="S70" s="642" t="s">
        <v>147</v>
      </c>
      <c r="T70" s="690"/>
      <c r="U70" s="642" t="s">
        <v>164</v>
      </c>
      <c r="V70" s="643"/>
      <c r="W70" s="14"/>
      <c r="X70" s="3"/>
      <c r="Y70" s="3"/>
      <c r="AD70" s="3"/>
      <c r="AE70" s="3"/>
      <c r="AF70" s="3"/>
      <c r="AG70" s="3"/>
      <c r="AH70" s="3"/>
    </row>
    <row r="71" spans="1:34" ht="15" customHeight="1" x14ac:dyDescent="0.25">
      <c r="A71" s="14"/>
      <c r="B71" s="713" t="s">
        <v>154</v>
      </c>
      <c r="C71" s="714"/>
      <c r="D71" s="714"/>
      <c r="E71" s="14"/>
      <c r="F71" s="640" t="s">
        <v>149</v>
      </c>
      <c r="G71" s="641"/>
      <c r="H71" s="434">
        <v>-0.5</v>
      </c>
      <c r="I71" s="434">
        <v>-0.5</v>
      </c>
      <c r="J71" s="434">
        <v>-0.5</v>
      </c>
      <c r="K71" s="434">
        <v>-0.5</v>
      </c>
      <c r="L71" s="434">
        <v>-0.75</v>
      </c>
      <c r="M71" s="434">
        <v>-0.75</v>
      </c>
      <c r="N71" s="434">
        <v>-0.75</v>
      </c>
      <c r="O71" s="434">
        <v>-1</v>
      </c>
      <c r="P71" s="462" t="e">
        <v>#N/A</v>
      </c>
      <c r="Q71" s="14"/>
      <c r="R71" s="14"/>
      <c r="S71" s="687" t="s">
        <v>150</v>
      </c>
      <c r="T71" s="689"/>
      <c r="U71" s="687" t="s">
        <v>165</v>
      </c>
      <c r="V71" s="688"/>
      <c r="W71" s="14"/>
      <c r="X71" s="3"/>
      <c r="Y71" s="3"/>
      <c r="AD71" s="3"/>
      <c r="AE71" s="3"/>
      <c r="AF71" s="3"/>
      <c r="AG71" s="3"/>
      <c r="AH71" s="3"/>
    </row>
    <row r="72" spans="1:34" ht="17.25" customHeight="1" x14ac:dyDescent="0.25">
      <c r="A72" s="14"/>
      <c r="B72" s="743" t="s">
        <v>157</v>
      </c>
      <c r="C72" s="744"/>
      <c r="D72" s="744"/>
      <c r="E72" s="14"/>
      <c r="F72" s="640" t="s">
        <v>152</v>
      </c>
      <c r="G72" s="641"/>
      <c r="H72" s="434">
        <v>0</v>
      </c>
      <c r="I72" s="434">
        <v>0</v>
      </c>
      <c r="J72" s="434">
        <v>0</v>
      </c>
      <c r="K72" s="434">
        <v>0</v>
      </c>
      <c r="L72" s="434">
        <v>0</v>
      </c>
      <c r="M72" s="434">
        <v>0</v>
      </c>
      <c r="N72" s="434">
        <v>0</v>
      </c>
      <c r="O72" s="434">
        <v>-0.25</v>
      </c>
      <c r="P72" s="462">
        <v>-0.5</v>
      </c>
      <c r="Q72" s="14"/>
      <c r="R72" s="14"/>
      <c r="S72" s="687" t="s">
        <v>153</v>
      </c>
      <c r="T72" s="689"/>
      <c r="U72" s="687" t="s">
        <v>166</v>
      </c>
      <c r="V72" s="688"/>
      <c r="W72" s="14"/>
      <c r="X72" s="3"/>
      <c r="Y72" s="3"/>
      <c r="AD72" s="3"/>
      <c r="AE72" s="3"/>
      <c r="AF72" s="3"/>
      <c r="AG72" s="3"/>
      <c r="AH72" s="3"/>
    </row>
    <row r="73" spans="1:34" ht="15" customHeight="1" x14ac:dyDescent="0.25">
      <c r="A73" s="14"/>
      <c r="B73" s="713" t="s">
        <v>160</v>
      </c>
      <c r="C73" s="714"/>
      <c r="D73" s="714"/>
      <c r="E73" s="54"/>
      <c r="F73" s="640" t="s">
        <v>222</v>
      </c>
      <c r="G73" s="641"/>
      <c r="H73" s="434">
        <v>0</v>
      </c>
      <c r="I73" s="434">
        <v>0</v>
      </c>
      <c r="J73" s="434">
        <v>-0.125</v>
      </c>
      <c r="K73" s="434">
        <v>-0.25</v>
      </c>
      <c r="L73" s="434">
        <v>-0.25</v>
      </c>
      <c r="M73" s="434">
        <v>-0.25</v>
      </c>
      <c r="N73" s="434">
        <v>-0.25</v>
      </c>
      <c r="O73" s="434">
        <v>-0.5</v>
      </c>
      <c r="P73" s="462" t="e">
        <v>#N/A</v>
      </c>
      <c r="Q73" s="14"/>
      <c r="R73" s="14"/>
      <c r="S73" s="687" t="s">
        <v>156</v>
      </c>
      <c r="T73" s="689"/>
      <c r="U73" s="711" t="s">
        <v>168</v>
      </c>
      <c r="V73" s="712"/>
      <c r="W73" s="14"/>
      <c r="X73" s="3"/>
      <c r="Y73" s="3"/>
      <c r="AD73" s="3"/>
      <c r="AE73" s="3"/>
      <c r="AF73" s="3"/>
      <c r="AG73" s="3"/>
      <c r="AH73" s="3"/>
    </row>
    <row r="74" spans="1:34" ht="15" customHeight="1" x14ac:dyDescent="0.25">
      <c r="A74" s="14"/>
      <c r="B74" s="715" t="s">
        <v>666</v>
      </c>
      <c r="C74" s="715"/>
      <c r="D74" s="715"/>
      <c r="E74" s="54"/>
      <c r="F74" s="640" t="s">
        <v>229</v>
      </c>
      <c r="G74" s="641"/>
      <c r="H74" s="434">
        <v>-0.25</v>
      </c>
      <c r="I74" s="434">
        <v>-0.25</v>
      </c>
      <c r="J74" s="434">
        <v>-0.25</v>
      </c>
      <c r="K74" s="434">
        <v>-0.375</v>
      </c>
      <c r="L74" s="434">
        <v>-0.5</v>
      </c>
      <c r="M74" s="434">
        <v>-0.625</v>
      </c>
      <c r="N74" s="434">
        <v>-1</v>
      </c>
      <c r="O74" s="434" t="e">
        <v>#N/A</v>
      </c>
      <c r="P74" s="462" t="e">
        <v>#N/A</v>
      </c>
      <c r="Q74" s="14"/>
      <c r="R74" s="14"/>
      <c r="S74" s="687" t="s">
        <v>159</v>
      </c>
      <c r="T74" s="710"/>
      <c r="U74" s="93"/>
      <c r="V74" s="94"/>
      <c r="W74" s="14"/>
      <c r="X74" s="3"/>
      <c r="Y74" s="3"/>
      <c r="AD74" s="3"/>
      <c r="AE74" s="3"/>
      <c r="AF74" s="3"/>
      <c r="AG74" s="3"/>
      <c r="AH74" s="3"/>
    </row>
    <row r="75" spans="1:34" ht="15" customHeight="1" x14ac:dyDescent="0.25">
      <c r="A75" s="14"/>
      <c r="B75" s="715"/>
      <c r="C75" s="715"/>
      <c r="D75" s="715"/>
      <c r="E75" s="54"/>
      <c r="F75" s="640" t="s">
        <v>158</v>
      </c>
      <c r="G75" s="641"/>
      <c r="H75" s="434">
        <v>-2</v>
      </c>
      <c r="I75" s="434">
        <v>-2</v>
      </c>
      <c r="J75" s="434">
        <v>-2.5</v>
      </c>
      <c r="K75" s="434">
        <v>-2.5</v>
      </c>
      <c r="L75" s="434">
        <v>-2.5</v>
      </c>
      <c r="M75" s="434">
        <v>-2.5</v>
      </c>
      <c r="N75" s="434">
        <v>-2.75</v>
      </c>
      <c r="O75" s="434">
        <v>-3</v>
      </c>
      <c r="P75" s="462" t="e">
        <v>#N/A</v>
      </c>
      <c r="Q75" s="14"/>
      <c r="R75" s="14"/>
      <c r="S75" s="687" t="s">
        <v>162</v>
      </c>
      <c r="T75" s="710"/>
      <c r="U75" s="93"/>
      <c r="V75" s="94"/>
      <c r="W75" s="14"/>
      <c r="X75" s="3"/>
      <c r="Y75" s="3"/>
      <c r="AD75" s="3"/>
      <c r="AE75" s="3"/>
      <c r="AF75" s="3"/>
      <c r="AG75" s="3"/>
      <c r="AH75" s="3"/>
    </row>
    <row r="76" spans="1:34" ht="15" customHeight="1" thickBot="1" x14ac:dyDescent="0.3">
      <c r="A76" s="14"/>
      <c r="B76" s="715"/>
      <c r="C76" s="715"/>
      <c r="D76" s="715"/>
      <c r="E76" s="54"/>
      <c r="F76" s="640" t="s">
        <v>70</v>
      </c>
      <c r="G76" s="641"/>
      <c r="H76" s="434">
        <v>-0.5</v>
      </c>
      <c r="I76" s="434">
        <v>-0.5</v>
      </c>
      <c r="J76" s="434">
        <v>-0.5</v>
      </c>
      <c r="K76" s="434">
        <v>-0.5</v>
      </c>
      <c r="L76" s="434">
        <v>-0.5</v>
      </c>
      <c r="M76" s="434">
        <v>-0.5</v>
      </c>
      <c r="N76" s="434">
        <v>-0.5</v>
      </c>
      <c r="O76" s="434">
        <v>-0.5</v>
      </c>
      <c r="P76" s="462">
        <v>-0.5</v>
      </c>
      <c r="Q76" s="14"/>
      <c r="R76" s="14"/>
      <c r="S76" s="93"/>
      <c r="T76" s="93"/>
      <c r="U76" s="93"/>
      <c r="V76" s="94"/>
      <c r="W76" s="14"/>
      <c r="X76" s="3"/>
      <c r="Y76" s="3"/>
      <c r="AD76" s="3"/>
      <c r="AE76" s="3"/>
      <c r="AF76" s="3"/>
      <c r="AG76" s="3"/>
      <c r="AH76" s="3"/>
    </row>
    <row r="77" spans="1:34" ht="15" customHeight="1" x14ac:dyDescent="0.25">
      <c r="A77" s="14"/>
      <c r="B77" s="715"/>
      <c r="C77" s="715"/>
      <c r="D77" s="715"/>
      <c r="E77" s="54"/>
      <c r="F77" s="642" t="s">
        <v>34</v>
      </c>
      <c r="G77" s="643"/>
      <c r="H77" s="643"/>
      <c r="I77" s="643"/>
      <c r="J77" s="643"/>
      <c r="K77" s="643"/>
      <c r="L77" s="643"/>
      <c r="M77" s="643"/>
      <c r="N77" s="643"/>
      <c r="O77" s="643"/>
      <c r="P77" s="644"/>
      <c r="Q77" s="14"/>
      <c r="R77" s="14"/>
      <c r="S77" s="649" t="s">
        <v>767</v>
      </c>
      <c r="T77" s="650"/>
      <c r="U77" s="650"/>
      <c r="V77" s="651"/>
      <c r="W77" s="14"/>
      <c r="X77" s="3"/>
      <c r="Y77" s="3"/>
      <c r="AD77" s="3"/>
      <c r="AE77" s="3"/>
      <c r="AF77" s="3"/>
      <c r="AG77" s="3"/>
      <c r="AH77" s="3"/>
    </row>
    <row r="78" spans="1:34" ht="15" customHeight="1" x14ac:dyDescent="0.25">
      <c r="A78" s="14"/>
      <c r="B78" s="715"/>
      <c r="C78" s="715"/>
      <c r="D78" s="715"/>
      <c r="E78" s="54"/>
      <c r="F78" s="640" t="s">
        <v>35</v>
      </c>
      <c r="G78" s="641"/>
      <c r="H78" s="44">
        <v>0</v>
      </c>
      <c r="I78" s="44">
        <v>0</v>
      </c>
      <c r="J78" s="44">
        <v>0</v>
      </c>
      <c r="K78" s="44">
        <v>0</v>
      </c>
      <c r="L78" s="44">
        <v>0</v>
      </c>
      <c r="M78" s="44">
        <v>0</v>
      </c>
      <c r="N78" s="44">
        <v>0</v>
      </c>
      <c r="O78" s="44">
        <v>0</v>
      </c>
      <c r="P78" s="45">
        <v>0</v>
      </c>
      <c r="Q78" s="14"/>
      <c r="R78" s="14"/>
      <c r="S78" s="722" t="str">
        <f>'Feed(WS)'!$U$161</f>
        <v>Tier 1 States</v>
      </c>
      <c r="T78" s="721" t="str">
        <f>'Feed(WS)'!$V$161</f>
        <v>AZ, CA, CO, CT, GA, HI, MA, MD, NJ, NV, OR, SC, UT, VA, WA</v>
      </c>
      <c r="U78" s="721"/>
      <c r="V78" s="719">
        <f>'Feed(WS)'!$W$161</f>
        <v>0</v>
      </c>
      <c r="W78" s="14"/>
      <c r="X78" s="3"/>
      <c r="Y78" s="3"/>
      <c r="AD78" s="3"/>
      <c r="AE78" s="3"/>
      <c r="AF78" s="3"/>
      <c r="AG78" s="3"/>
      <c r="AH78" s="3"/>
    </row>
    <row r="79" spans="1:34" ht="15" customHeight="1" x14ac:dyDescent="0.25">
      <c r="A79" s="14"/>
      <c r="B79" s="715"/>
      <c r="C79" s="715"/>
      <c r="D79" s="715"/>
      <c r="E79" s="54"/>
      <c r="F79" s="640" t="s">
        <v>167</v>
      </c>
      <c r="G79" s="641"/>
      <c r="H79" s="44">
        <v>-1.25</v>
      </c>
      <c r="I79" s="44">
        <v>-1.25</v>
      </c>
      <c r="J79" s="44">
        <v>-1.25</v>
      </c>
      <c r="K79" s="44">
        <v>-1.25</v>
      </c>
      <c r="L79" s="44">
        <v>-1.25</v>
      </c>
      <c r="M79" s="44">
        <v>-1.25</v>
      </c>
      <c r="N79" s="44">
        <v>-1.5</v>
      </c>
      <c r="O79" s="44">
        <v>-2</v>
      </c>
      <c r="P79" s="45" t="e">
        <v>#N/A</v>
      </c>
      <c r="Q79" s="14"/>
      <c r="R79" s="14"/>
      <c r="S79" s="722"/>
      <c r="T79" s="721"/>
      <c r="U79" s="721"/>
      <c r="V79" s="719"/>
      <c r="W79" s="14"/>
      <c r="AD79" s="3"/>
      <c r="AE79" s="3"/>
      <c r="AF79" s="3"/>
      <c r="AG79" s="3"/>
      <c r="AH79" s="3"/>
    </row>
    <row r="80" spans="1:34" ht="15" customHeight="1" x14ac:dyDescent="0.25">
      <c r="A80" s="14"/>
      <c r="B80" s="716"/>
      <c r="C80" s="717"/>
      <c r="D80" s="717"/>
      <c r="E80" s="54"/>
      <c r="F80" s="640" t="s">
        <v>169</v>
      </c>
      <c r="G80" s="641"/>
      <c r="H80" s="44">
        <v>-1.75</v>
      </c>
      <c r="I80" s="44">
        <v>-1.75</v>
      </c>
      <c r="J80" s="44">
        <v>-1.75</v>
      </c>
      <c r="K80" s="44">
        <v>-1.75</v>
      </c>
      <c r="L80" s="44">
        <v>-1.75</v>
      </c>
      <c r="M80" s="44">
        <v>-2</v>
      </c>
      <c r="N80" s="44">
        <v>-2</v>
      </c>
      <c r="O80" s="44" t="e">
        <v>#N/A</v>
      </c>
      <c r="P80" s="45" t="e">
        <v>#N/A</v>
      </c>
      <c r="Q80" s="14"/>
      <c r="R80" s="14"/>
      <c r="S80" s="722" t="str">
        <f>'Feed(WS)'!$U$162</f>
        <v>Tier 2 States</v>
      </c>
      <c r="T80" s="721" t="str">
        <f>'Feed(WS)'!$V$162</f>
        <v>DC, FL, ID, IL, IN, LA, MI, MN, MO, NC, OH, OK, PA, RI, TN, TX</v>
      </c>
      <c r="U80" s="721"/>
      <c r="V80" s="719">
        <f>'Feed(WS)'!$W$162</f>
        <v>0.15</v>
      </c>
      <c r="W80" s="14"/>
    </row>
    <row r="81" spans="1:23" ht="15" customHeight="1" x14ac:dyDescent="0.25">
      <c r="A81" s="14"/>
      <c r="B81" s="716"/>
      <c r="C81" s="717"/>
      <c r="D81" s="717"/>
      <c r="E81" s="54"/>
      <c r="F81" s="640" t="s">
        <v>170</v>
      </c>
      <c r="G81" s="641"/>
      <c r="H81" s="44">
        <v>-1.75</v>
      </c>
      <c r="I81" s="44">
        <v>-1.75</v>
      </c>
      <c r="J81" s="44">
        <v>-1.75</v>
      </c>
      <c r="K81" s="44">
        <v>-1.75</v>
      </c>
      <c r="L81" s="44">
        <v>-1.75</v>
      </c>
      <c r="M81" s="44">
        <v>-2</v>
      </c>
      <c r="N81" s="44">
        <v>-2</v>
      </c>
      <c r="O81" s="44" t="e">
        <v>#N/A</v>
      </c>
      <c r="P81" s="45" t="e">
        <v>#N/A</v>
      </c>
      <c r="Q81" s="14"/>
      <c r="R81" s="14"/>
      <c r="S81" s="722"/>
      <c r="T81" s="721"/>
      <c r="U81" s="721"/>
      <c r="V81" s="719"/>
      <c r="W81" s="14"/>
    </row>
    <row r="82" spans="1:23" ht="15" customHeight="1" x14ac:dyDescent="0.25">
      <c r="A82" s="14"/>
      <c r="B82" s="716"/>
      <c r="C82" s="717"/>
      <c r="D82" s="717"/>
      <c r="E82" s="54"/>
      <c r="F82" s="640" t="s">
        <v>171</v>
      </c>
      <c r="G82" s="641"/>
      <c r="H82" s="44">
        <v>0</v>
      </c>
      <c r="I82" s="44">
        <v>0</v>
      </c>
      <c r="J82" s="44">
        <v>0</v>
      </c>
      <c r="K82" s="44">
        <v>0</v>
      </c>
      <c r="L82" s="44">
        <v>0</v>
      </c>
      <c r="M82" s="44">
        <v>0</v>
      </c>
      <c r="N82" s="44">
        <v>0</v>
      </c>
      <c r="O82" s="44">
        <v>0</v>
      </c>
      <c r="P82" s="45">
        <v>0</v>
      </c>
      <c r="Q82" s="14"/>
      <c r="R82" s="14"/>
      <c r="S82" s="722" t="str">
        <f>'Feed(WS)'!$U$163</f>
        <v>Tier 3 States</v>
      </c>
      <c r="T82" s="721" t="str">
        <f>'Feed(WS)'!$V$163</f>
        <v>AK, AL, AR, DE, IA, KS, KY, ME, MS, MT, ND, NE, NH, NM, SD, VT WI, WV, WY</v>
      </c>
      <c r="U82" s="721"/>
      <c r="V82" s="719">
        <f>'Feed(WS)'!$W$163</f>
        <v>0.25</v>
      </c>
      <c r="W82" s="14"/>
    </row>
    <row r="83" spans="1:23" ht="15" customHeight="1" thickBot="1" x14ac:dyDescent="0.3">
      <c r="A83" s="14"/>
      <c r="B83" s="716"/>
      <c r="C83" s="717"/>
      <c r="D83" s="717"/>
      <c r="E83" s="54"/>
      <c r="F83" s="645" t="s">
        <v>37</v>
      </c>
      <c r="G83" s="646"/>
      <c r="H83" s="646"/>
      <c r="I83" s="646"/>
      <c r="J83" s="646"/>
      <c r="K83" s="646"/>
      <c r="L83" s="646"/>
      <c r="M83" s="646"/>
      <c r="N83" s="646"/>
      <c r="O83" s="646"/>
      <c r="P83" s="718"/>
      <c r="Q83" s="14"/>
      <c r="R83" s="14"/>
      <c r="S83" s="729"/>
      <c r="T83" s="730"/>
      <c r="U83" s="730"/>
      <c r="V83" s="720"/>
      <c r="W83" s="14"/>
    </row>
    <row r="84" spans="1:23" ht="15" customHeight="1" x14ac:dyDescent="0.25">
      <c r="A84" s="14"/>
      <c r="B84" s="716"/>
      <c r="C84" s="717"/>
      <c r="D84" s="717"/>
      <c r="E84" s="54"/>
      <c r="F84" s="725" t="s">
        <v>172</v>
      </c>
      <c r="G84" s="726"/>
      <c r="H84" s="262">
        <v>-1.5</v>
      </c>
      <c r="I84" s="262">
        <v>-1.5</v>
      </c>
      <c r="J84" s="262">
        <v>-2</v>
      </c>
      <c r="K84" s="262">
        <v>-2</v>
      </c>
      <c r="L84" s="262">
        <v>-2</v>
      </c>
      <c r="M84" s="262">
        <v>-2</v>
      </c>
      <c r="N84" s="262" t="e">
        <v>#N/A</v>
      </c>
      <c r="O84" s="262" t="e">
        <v>#N/A</v>
      </c>
      <c r="P84" s="260" t="e">
        <v>#N/A</v>
      </c>
      <c r="Q84" s="14"/>
      <c r="R84" s="14"/>
      <c r="S84" s="615"/>
      <c r="T84" s="93"/>
      <c r="U84" s="93"/>
      <c r="V84" s="94"/>
      <c r="W84" s="14"/>
    </row>
    <row r="85" spans="1:23" ht="15" customHeight="1" x14ac:dyDescent="0.25">
      <c r="A85" s="14"/>
      <c r="B85" s="716"/>
      <c r="C85" s="717"/>
      <c r="D85" s="717"/>
      <c r="E85" s="54"/>
      <c r="F85" s="723" t="s">
        <v>173</v>
      </c>
      <c r="G85" s="724"/>
      <c r="H85" s="44">
        <v>-1</v>
      </c>
      <c r="I85" s="44">
        <v>-1</v>
      </c>
      <c r="J85" s="44">
        <v>-1</v>
      </c>
      <c r="K85" s="44">
        <v>-1.25</v>
      </c>
      <c r="L85" s="44">
        <v>-1.25</v>
      </c>
      <c r="M85" s="44">
        <v>-1.25</v>
      </c>
      <c r="N85" s="44">
        <v>-1.5</v>
      </c>
      <c r="O85" s="44" t="e">
        <v>#N/A</v>
      </c>
      <c r="P85" s="45" t="e">
        <v>#N/A</v>
      </c>
      <c r="Q85" s="14"/>
      <c r="R85" s="14"/>
      <c r="S85" s="95"/>
      <c r="T85" s="93"/>
      <c r="U85" s="93"/>
      <c r="V85" s="94"/>
      <c r="W85" s="14"/>
    </row>
    <row r="86" spans="1:23" ht="15" customHeight="1" x14ac:dyDescent="0.25">
      <c r="A86" s="14"/>
      <c r="B86" s="716"/>
      <c r="C86" s="717"/>
      <c r="D86" s="717"/>
      <c r="E86" s="54"/>
      <c r="F86" s="723" t="s">
        <v>174</v>
      </c>
      <c r="G86" s="724"/>
      <c r="H86" s="44">
        <v>-0.25</v>
      </c>
      <c r="I86" s="44">
        <v>-0.25</v>
      </c>
      <c r="J86" s="44">
        <v>-0.25</v>
      </c>
      <c r="K86" s="44">
        <v>-0.25</v>
      </c>
      <c r="L86" s="44">
        <v>-0.25</v>
      </c>
      <c r="M86" s="44">
        <v>-0.5</v>
      </c>
      <c r="N86" s="44">
        <v>-0.5</v>
      </c>
      <c r="O86" s="44">
        <v>-0.5</v>
      </c>
      <c r="P86" s="45">
        <v>-0.5</v>
      </c>
      <c r="Q86" s="14"/>
      <c r="R86" s="14"/>
      <c r="S86" s="95"/>
      <c r="T86" s="93"/>
      <c r="U86" s="93"/>
      <c r="V86" s="94"/>
      <c r="W86" s="14"/>
    </row>
    <row r="87" spans="1:23" ht="15" customHeight="1" x14ac:dyDescent="0.25">
      <c r="A87" s="14"/>
      <c r="B87" s="716"/>
      <c r="C87" s="717"/>
      <c r="D87" s="717"/>
      <c r="E87" s="54"/>
      <c r="F87" s="727" t="s">
        <v>175</v>
      </c>
      <c r="G87" s="728"/>
      <c r="H87" s="91">
        <v>0</v>
      </c>
      <c r="I87" s="91">
        <v>0</v>
      </c>
      <c r="J87" s="91">
        <v>0</v>
      </c>
      <c r="K87" s="91">
        <v>0</v>
      </c>
      <c r="L87" s="91">
        <v>0</v>
      </c>
      <c r="M87" s="91">
        <v>0</v>
      </c>
      <c r="N87" s="91">
        <v>0</v>
      </c>
      <c r="O87" s="91">
        <v>0</v>
      </c>
      <c r="P87" s="92">
        <v>0</v>
      </c>
      <c r="Q87" s="14"/>
      <c r="R87" s="14"/>
      <c r="S87" s="95"/>
      <c r="T87" s="93"/>
      <c r="U87" s="93"/>
      <c r="V87" s="94"/>
      <c r="W87" s="14"/>
    </row>
    <row r="88" spans="1:23" ht="15" customHeight="1" thickBot="1" x14ac:dyDescent="0.3">
      <c r="A88" s="14"/>
      <c r="B88" s="716"/>
      <c r="C88" s="717"/>
      <c r="D88" s="717"/>
      <c r="E88" s="54"/>
      <c r="F88" s="263"/>
      <c r="G88" s="96"/>
      <c r="H88" s="96"/>
      <c r="I88" s="96"/>
      <c r="J88" s="96"/>
      <c r="K88" s="96"/>
      <c r="L88" s="96"/>
      <c r="M88" s="96"/>
      <c r="N88" s="96"/>
      <c r="O88" s="96"/>
      <c r="P88" s="97"/>
      <c r="Q88" s="14"/>
      <c r="R88" s="14"/>
      <c r="S88" s="95"/>
      <c r="T88" s="93"/>
      <c r="U88" s="93"/>
      <c r="V88" s="94"/>
      <c r="W88" s="14"/>
    </row>
    <row r="89" spans="1:23" x14ac:dyDescent="0.25">
      <c r="B89" s="3"/>
      <c r="C89" s="3"/>
      <c r="D89" s="3"/>
      <c r="E89" s="3"/>
      <c r="Q89" s="102"/>
    </row>
    <row r="90" spans="1:23" ht="15.75" x14ac:dyDescent="0.25">
      <c r="B90" s="109"/>
      <c r="C90" s="109"/>
      <c r="D90" s="109"/>
      <c r="E90" s="3"/>
      <c r="Q90" s="102"/>
      <c r="S90" s="3"/>
      <c r="T90" s="3"/>
    </row>
    <row r="91" spans="1:23" x14ac:dyDescent="0.25">
      <c r="B91" s="110"/>
      <c r="C91" s="110"/>
      <c r="D91" s="110"/>
      <c r="E91" s="3"/>
      <c r="Q91" s="110"/>
    </row>
    <row r="92" spans="1:23" x14ac:dyDescent="0.25">
      <c r="B92" s="110"/>
      <c r="C92" s="110"/>
      <c r="D92" s="110"/>
    </row>
    <row r="93" spans="1:23" ht="18.75" customHeight="1" x14ac:dyDescent="0.25">
      <c r="B93" s="110"/>
      <c r="C93" s="110"/>
      <c r="D93" s="110"/>
      <c r="E93" s="3"/>
    </row>
    <row r="94" spans="1:23" x14ac:dyDescent="0.25">
      <c r="B94" s="110"/>
      <c r="C94" s="110"/>
      <c r="D94" s="110"/>
      <c r="E94" s="3"/>
    </row>
    <row r="95" spans="1:23" ht="14.25" customHeight="1" x14ac:dyDescent="0.25">
      <c r="B95" s="110"/>
      <c r="C95" s="110"/>
      <c r="D95" s="110"/>
      <c r="E95" s="3"/>
      <c r="S95" s="3"/>
      <c r="T95" s="3"/>
    </row>
    <row r="96" spans="1:23" ht="15" customHeight="1" x14ac:dyDescent="0.25">
      <c r="B96" s="110"/>
      <c r="C96" s="110"/>
      <c r="D96" s="110"/>
      <c r="E96" s="3"/>
    </row>
    <row r="97" spans="2:16" ht="15" customHeight="1" x14ac:dyDescent="0.25">
      <c r="B97" s="110"/>
      <c r="C97" s="110"/>
      <c r="D97" s="110"/>
      <c r="E97" s="3"/>
      <c r="F97" s="3"/>
      <c r="G97" s="103"/>
      <c r="H97" s="104"/>
      <c r="I97" s="104"/>
      <c r="J97" s="104"/>
      <c r="K97" s="104"/>
      <c r="L97" s="104"/>
      <c r="M97" s="104"/>
      <c r="N97" s="104"/>
      <c r="O97" s="104"/>
    </row>
    <row r="98" spans="2:16" ht="14.25" customHeight="1" x14ac:dyDescent="0.25">
      <c r="B98" s="3"/>
      <c r="C98" s="3"/>
      <c r="D98" s="3"/>
      <c r="E98" s="3"/>
      <c r="F98" s="3"/>
      <c r="G98" s="3"/>
      <c r="H98" s="103"/>
      <c r="I98" s="104"/>
      <c r="J98" s="104"/>
      <c r="K98" s="104"/>
      <c r="L98" s="104"/>
      <c r="M98" s="104"/>
      <c r="N98" s="104"/>
      <c r="O98" s="104"/>
      <c r="P98" s="104"/>
    </row>
    <row r="99" spans="2:16" ht="14.25" customHeight="1" x14ac:dyDescent="0.25">
      <c r="B99" s="3"/>
      <c r="C99" s="3"/>
      <c r="D99" s="3"/>
      <c r="E99" s="3"/>
      <c r="H99" s="104"/>
      <c r="I99" s="104"/>
      <c r="J99" s="104"/>
      <c r="K99" s="104"/>
      <c r="L99" s="104"/>
      <c r="M99" s="104"/>
      <c r="N99" s="104"/>
      <c r="O99" s="104"/>
      <c r="P99" s="104"/>
    </row>
    <row r="100" spans="2:16" ht="14.25" customHeight="1" x14ac:dyDescent="0.25">
      <c r="B100" s="111"/>
      <c r="C100" s="111"/>
      <c r="D100" s="3"/>
      <c r="E100" s="3"/>
      <c r="H100" s="104"/>
      <c r="I100" s="104"/>
      <c r="J100" s="104"/>
      <c r="K100" s="104"/>
      <c r="L100" s="104"/>
      <c r="M100" s="104"/>
      <c r="N100" s="104"/>
      <c r="O100" s="104"/>
      <c r="P100" s="104"/>
    </row>
    <row r="101" spans="2:16" ht="14.25" customHeight="1" x14ac:dyDescent="0.25">
      <c r="B101" s="105"/>
      <c r="C101" s="106"/>
      <c r="D101" s="3"/>
      <c r="E101" s="3"/>
      <c r="H101" s="104"/>
      <c r="I101" s="104"/>
      <c r="J101" s="104"/>
      <c r="K101" s="104"/>
      <c r="L101" s="104"/>
      <c r="M101" s="104"/>
      <c r="N101" s="104"/>
      <c r="O101" s="104"/>
      <c r="P101" s="104"/>
    </row>
    <row r="102" spans="2:16" ht="14.25" customHeight="1" x14ac:dyDescent="0.25">
      <c r="B102" s="105"/>
      <c r="C102" s="106"/>
      <c r="D102" s="3"/>
      <c r="E102" s="3"/>
      <c r="H102" s="104"/>
      <c r="I102" s="104"/>
      <c r="J102" s="104"/>
      <c r="K102" s="104"/>
      <c r="L102" s="104"/>
      <c r="M102" s="104"/>
      <c r="N102" s="104"/>
      <c r="O102" s="104"/>
      <c r="P102" s="104"/>
    </row>
    <row r="103" spans="2:16" ht="14.25" customHeight="1" x14ac:dyDescent="0.25">
      <c r="B103" s="105"/>
      <c r="C103" s="106"/>
      <c r="D103" s="3"/>
      <c r="E103" s="3"/>
      <c r="H103" s="104"/>
      <c r="I103" s="104"/>
      <c r="J103" s="104"/>
      <c r="K103" s="104"/>
      <c r="L103" s="104"/>
      <c r="M103" s="104"/>
      <c r="N103" s="104"/>
      <c r="O103" s="104"/>
      <c r="P103" s="104"/>
    </row>
    <row r="104" spans="2:16" ht="14.25" customHeight="1" x14ac:dyDescent="0.25">
      <c r="B104" s="105"/>
      <c r="C104" s="106"/>
      <c r="D104" s="3"/>
      <c r="E104" s="3"/>
      <c r="H104" s="104"/>
      <c r="I104" s="104"/>
      <c r="J104" s="104"/>
      <c r="K104" s="104"/>
      <c r="L104" s="104"/>
      <c r="M104" s="104"/>
      <c r="N104" s="104"/>
      <c r="O104" s="104"/>
      <c r="P104" s="104"/>
    </row>
    <row r="105" spans="2:16" ht="15" customHeight="1" x14ac:dyDescent="0.25">
      <c r="B105" s="105"/>
      <c r="C105" s="106"/>
      <c r="D105" s="3"/>
      <c r="E105" s="3"/>
      <c r="H105" s="104"/>
      <c r="I105" s="104"/>
      <c r="J105" s="104"/>
      <c r="K105" s="104"/>
      <c r="L105" s="104"/>
      <c r="M105" s="104"/>
      <c r="N105" s="104"/>
      <c r="O105" s="104"/>
      <c r="P105" s="104"/>
    </row>
    <row r="106" spans="2:16" x14ac:dyDescent="0.25">
      <c r="B106" s="105"/>
      <c r="C106" s="112"/>
      <c r="D106" s="3"/>
      <c r="E106" s="3"/>
      <c r="H106" s="104"/>
      <c r="I106" s="104"/>
      <c r="J106" s="104"/>
      <c r="K106" s="104"/>
      <c r="L106" s="104"/>
      <c r="M106" s="104"/>
      <c r="N106" s="104"/>
      <c r="O106" s="104"/>
      <c r="P106" s="104"/>
    </row>
    <row r="107" spans="2:16" x14ac:dyDescent="0.25">
      <c r="B107" s="111"/>
      <c r="C107" s="111"/>
      <c r="D107" s="3"/>
      <c r="E107" s="3"/>
      <c r="H107" s="104"/>
      <c r="I107" s="104"/>
      <c r="J107" s="104"/>
      <c r="K107" s="104"/>
      <c r="L107" s="104"/>
      <c r="M107" s="104"/>
      <c r="N107" s="104"/>
      <c r="O107" s="104"/>
      <c r="P107" s="104"/>
    </row>
    <row r="108" spans="2:16" x14ac:dyDescent="0.25">
      <c r="B108" s="105"/>
      <c r="C108" s="106"/>
      <c r="D108" s="3"/>
      <c r="E108" s="3"/>
      <c r="H108" s="104"/>
      <c r="I108" s="104"/>
      <c r="J108" s="104"/>
      <c r="K108" s="104"/>
      <c r="L108" s="104"/>
      <c r="M108" s="104"/>
      <c r="N108" s="104"/>
      <c r="O108" s="104"/>
      <c r="P108" s="104"/>
    </row>
    <row r="109" spans="2:16" x14ac:dyDescent="0.25">
      <c r="B109" s="3"/>
      <c r="C109" s="3"/>
      <c r="D109" s="3"/>
      <c r="E109" s="3"/>
      <c r="H109" s="104"/>
      <c r="I109" s="104"/>
      <c r="J109" s="104"/>
      <c r="K109" s="104"/>
      <c r="L109" s="104"/>
      <c r="M109" s="104"/>
      <c r="N109" s="104"/>
      <c r="O109" s="104"/>
      <c r="P109" s="104"/>
    </row>
    <row r="110" spans="2:16" x14ac:dyDescent="0.25">
      <c r="B110" s="3"/>
      <c r="C110" s="3"/>
      <c r="D110" s="3"/>
      <c r="E110" s="3"/>
      <c r="H110" s="104"/>
      <c r="I110" s="104"/>
      <c r="J110" s="104"/>
      <c r="K110" s="104"/>
      <c r="L110" s="104"/>
      <c r="M110" s="104"/>
      <c r="N110" s="104"/>
      <c r="O110" s="104"/>
      <c r="P110" s="104"/>
    </row>
    <row r="111" spans="2:16" x14ac:dyDescent="0.25">
      <c r="B111" s="3"/>
      <c r="C111" s="3"/>
      <c r="D111" s="3"/>
      <c r="E111" s="3"/>
      <c r="H111" s="104"/>
      <c r="I111" s="104"/>
      <c r="J111" s="104"/>
      <c r="K111" s="104"/>
      <c r="L111" s="104"/>
      <c r="M111" s="104"/>
      <c r="N111" s="104"/>
      <c r="O111" s="104"/>
      <c r="P111" s="104"/>
    </row>
    <row r="112" spans="2:16" x14ac:dyDescent="0.25">
      <c r="B112" s="3"/>
      <c r="C112" s="3"/>
      <c r="D112" s="3"/>
      <c r="E112" s="3"/>
      <c r="H112" s="104"/>
      <c r="I112" s="104"/>
      <c r="J112" s="104"/>
      <c r="K112" s="104"/>
      <c r="L112" s="104"/>
      <c r="M112" s="104"/>
      <c r="N112" s="104"/>
      <c r="O112" s="104"/>
      <c r="P112" s="104"/>
    </row>
    <row r="113" spans="2:16" x14ac:dyDescent="0.25">
      <c r="B113" s="3"/>
      <c r="C113" s="3"/>
      <c r="D113" s="3"/>
      <c r="E113" s="3"/>
      <c r="H113" s="104"/>
      <c r="I113" s="104"/>
      <c r="J113" s="104"/>
      <c r="K113" s="104"/>
      <c r="L113" s="104"/>
      <c r="M113" s="104"/>
      <c r="N113" s="104"/>
      <c r="O113" s="104"/>
      <c r="P113" s="104"/>
    </row>
    <row r="114" spans="2:16" x14ac:dyDescent="0.25">
      <c r="B114" s="3"/>
      <c r="C114" s="3"/>
      <c r="D114" s="3"/>
      <c r="E114" s="3"/>
      <c r="H114" s="104"/>
      <c r="I114" s="104"/>
      <c r="J114" s="104"/>
      <c r="K114" s="104"/>
      <c r="L114" s="104"/>
      <c r="M114" s="104"/>
      <c r="N114" s="104"/>
      <c r="O114" s="104"/>
      <c r="P114" s="104"/>
    </row>
    <row r="115" spans="2:16" x14ac:dyDescent="0.25">
      <c r="B115" s="3"/>
      <c r="C115" s="3"/>
      <c r="D115" s="3"/>
      <c r="E115" s="3"/>
      <c r="H115" s="104"/>
      <c r="I115" s="104"/>
      <c r="J115" s="104"/>
      <c r="K115" s="104"/>
      <c r="L115" s="104"/>
      <c r="M115" s="104"/>
      <c r="N115" s="104"/>
      <c r="O115" s="104"/>
      <c r="P115" s="104"/>
    </row>
    <row r="116" spans="2:16" x14ac:dyDescent="0.25">
      <c r="B116" s="3"/>
      <c r="C116" s="3"/>
      <c r="D116" s="3"/>
      <c r="E116" s="3"/>
      <c r="H116" s="104"/>
      <c r="I116" s="104"/>
      <c r="J116" s="104"/>
      <c r="K116" s="104"/>
      <c r="L116" s="104"/>
      <c r="M116" s="104"/>
      <c r="N116" s="104"/>
      <c r="O116" s="104"/>
      <c r="P116" s="104"/>
    </row>
    <row r="117" spans="2:16" x14ac:dyDescent="0.25">
      <c r="B117" s="3"/>
      <c r="C117" s="3"/>
      <c r="D117" s="3"/>
      <c r="H117" s="104"/>
      <c r="I117" s="104"/>
      <c r="J117" s="104"/>
      <c r="K117" s="104"/>
      <c r="L117" s="104"/>
      <c r="M117" s="104"/>
      <c r="N117" s="104"/>
      <c r="O117" s="104"/>
      <c r="P117" s="104"/>
    </row>
    <row r="118" spans="2:16" x14ac:dyDescent="0.25">
      <c r="H118" s="104"/>
      <c r="I118" s="104"/>
      <c r="J118" s="104"/>
      <c r="K118" s="104"/>
      <c r="L118" s="104"/>
      <c r="M118" s="104"/>
      <c r="N118" s="104"/>
      <c r="O118" s="104"/>
      <c r="P118" s="104"/>
    </row>
    <row r="119" spans="2:16" x14ac:dyDescent="0.25">
      <c r="H119" s="104"/>
      <c r="I119" s="104"/>
      <c r="J119" s="104"/>
      <c r="K119" s="104"/>
      <c r="L119" s="104"/>
      <c r="M119" s="104"/>
      <c r="N119" s="104"/>
      <c r="O119" s="104"/>
      <c r="P119" s="104"/>
    </row>
    <row r="120" spans="2:16" ht="18" customHeight="1" x14ac:dyDescent="0.25">
      <c r="H120" s="104"/>
      <c r="I120" s="104"/>
      <c r="J120" s="104"/>
      <c r="K120" s="104"/>
      <c r="L120" s="104"/>
      <c r="M120" s="104"/>
      <c r="N120" s="104"/>
      <c r="O120" s="104"/>
      <c r="P120" s="104"/>
    </row>
    <row r="121" spans="2:16" ht="15.75" customHeight="1" x14ac:dyDescent="0.25">
      <c r="H121" s="104"/>
      <c r="I121" s="104"/>
      <c r="J121" s="104"/>
      <c r="K121" s="104"/>
      <c r="L121" s="104"/>
      <c r="M121" s="104"/>
      <c r="N121" s="104"/>
      <c r="O121" s="104"/>
      <c r="P121" s="104"/>
    </row>
    <row r="122" spans="2:16" ht="16.5" customHeight="1" x14ac:dyDescent="0.25">
      <c r="H122" s="104"/>
      <c r="I122" s="104"/>
      <c r="J122" s="104"/>
      <c r="K122" s="104"/>
      <c r="L122" s="104"/>
      <c r="M122" s="104"/>
      <c r="N122" s="104"/>
      <c r="O122" s="104"/>
      <c r="P122" s="104"/>
    </row>
    <row r="123" spans="2:16" x14ac:dyDescent="0.25">
      <c r="H123" s="104"/>
      <c r="I123" s="104"/>
      <c r="J123" s="104"/>
      <c r="K123" s="104"/>
      <c r="L123" s="104"/>
      <c r="M123" s="104"/>
      <c r="N123" s="104"/>
      <c r="O123" s="104"/>
      <c r="P123" s="104"/>
    </row>
    <row r="124" spans="2:16" ht="15.75" customHeight="1" x14ac:dyDescent="0.25">
      <c r="H124" s="104"/>
      <c r="I124" s="104"/>
      <c r="J124" s="104"/>
      <c r="K124" s="104"/>
      <c r="L124" s="104"/>
      <c r="M124" s="104"/>
      <c r="N124" s="104"/>
      <c r="O124" s="104"/>
      <c r="P124" s="104"/>
    </row>
    <row r="125" spans="2:16" x14ac:dyDescent="0.25">
      <c r="H125" s="104"/>
      <c r="I125" s="104"/>
      <c r="J125" s="104"/>
      <c r="K125" s="104"/>
      <c r="L125" s="104"/>
      <c r="M125" s="104"/>
      <c r="N125" s="104"/>
      <c r="O125" s="104"/>
      <c r="P125" s="104"/>
    </row>
    <row r="126" spans="2:16" ht="15" customHeight="1" x14ac:dyDescent="0.25">
      <c r="H126" s="104"/>
      <c r="I126" s="104"/>
      <c r="J126" s="104"/>
      <c r="K126" s="104"/>
      <c r="L126" s="104"/>
      <c r="M126" s="104"/>
      <c r="N126" s="104"/>
      <c r="O126" s="104"/>
      <c r="P126" s="104"/>
    </row>
    <row r="127" spans="2:16" ht="15.75" customHeight="1" x14ac:dyDescent="0.25">
      <c r="H127" s="104"/>
      <c r="I127" s="104"/>
      <c r="J127" s="104"/>
      <c r="K127" s="104"/>
      <c r="L127" s="104"/>
      <c r="M127" s="104"/>
      <c r="N127" s="104"/>
      <c r="O127" s="104"/>
      <c r="P127" s="104"/>
    </row>
    <row r="128" spans="2:16" ht="32.25" customHeight="1" x14ac:dyDescent="0.25">
      <c r="H128" s="104"/>
      <c r="I128" s="104"/>
      <c r="J128" s="104"/>
      <c r="K128" s="104"/>
      <c r="L128" s="104"/>
      <c r="M128" s="104"/>
      <c r="N128" s="104"/>
      <c r="O128" s="104"/>
      <c r="P128" s="104"/>
    </row>
    <row r="129" spans="8:16" x14ac:dyDescent="0.25">
      <c r="H129" s="104"/>
      <c r="I129" s="104"/>
      <c r="J129" s="104"/>
      <c r="K129" s="104"/>
      <c r="L129" s="104"/>
      <c r="M129" s="104"/>
      <c r="N129" s="104"/>
      <c r="O129" s="104"/>
      <c r="P129" s="104"/>
    </row>
    <row r="130" spans="8:16" ht="18" customHeight="1" x14ac:dyDescent="0.25">
      <c r="H130" s="104"/>
      <c r="I130" s="104"/>
      <c r="J130" s="104"/>
      <c r="K130" s="104"/>
      <c r="L130" s="104"/>
      <c r="M130" s="104"/>
      <c r="N130" s="104"/>
      <c r="O130" s="104"/>
      <c r="P130" s="104"/>
    </row>
    <row r="131" spans="8:16" ht="15" customHeight="1" x14ac:dyDescent="0.25">
      <c r="H131" s="104"/>
      <c r="I131" s="104"/>
      <c r="J131" s="104"/>
      <c r="K131" s="104"/>
      <c r="L131" s="104"/>
      <c r="M131" s="104"/>
      <c r="N131" s="104"/>
      <c r="O131" s="104"/>
      <c r="P131" s="104"/>
    </row>
    <row r="132" spans="8:16" ht="15" customHeight="1" x14ac:dyDescent="0.25">
      <c r="H132" s="104"/>
      <c r="I132" s="104"/>
      <c r="J132" s="104"/>
      <c r="K132" s="104"/>
      <c r="L132" s="104"/>
      <c r="M132" s="104"/>
      <c r="N132" s="104"/>
      <c r="O132" s="104"/>
      <c r="P132" s="104"/>
    </row>
    <row r="133" spans="8:16" ht="15" customHeight="1" x14ac:dyDescent="0.25">
      <c r="H133" s="104"/>
      <c r="I133" s="104"/>
      <c r="J133" s="104"/>
      <c r="K133" s="104"/>
      <c r="L133" s="104"/>
      <c r="M133" s="104"/>
      <c r="N133" s="104"/>
      <c r="O133" s="104"/>
      <c r="P133" s="104"/>
    </row>
    <row r="134" spans="8:16" ht="15" customHeight="1" x14ac:dyDescent="0.25">
      <c r="H134" s="104"/>
      <c r="I134" s="104"/>
      <c r="J134" s="104"/>
      <c r="K134" s="104"/>
      <c r="L134" s="104"/>
      <c r="M134" s="104"/>
      <c r="N134" s="104"/>
      <c r="O134" s="104"/>
      <c r="P134" s="104"/>
    </row>
    <row r="135" spans="8:16" ht="15" customHeight="1" x14ac:dyDescent="0.25">
      <c r="H135" s="104"/>
      <c r="I135" s="104"/>
      <c r="J135" s="104"/>
      <c r="K135" s="104"/>
      <c r="L135" s="104"/>
      <c r="M135" s="104"/>
      <c r="N135" s="104"/>
      <c r="O135" s="104"/>
      <c r="P135" s="104"/>
    </row>
    <row r="136" spans="8:16" ht="15" customHeight="1" x14ac:dyDescent="0.25">
      <c r="H136" s="104"/>
      <c r="I136" s="104"/>
      <c r="J136" s="104"/>
      <c r="K136" s="104"/>
      <c r="L136" s="104"/>
      <c r="M136" s="104"/>
      <c r="N136" s="104"/>
      <c r="O136" s="104"/>
      <c r="P136" s="104"/>
    </row>
    <row r="137" spans="8:16" ht="15" customHeight="1" x14ac:dyDescent="0.25">
      <c r="H137" s="104"/>
      <c r="I137" s="104"/>
      <c r="J137" s="104"/>
      <c r="K137" s="104"/>
      <c r="L137" s="104"/>
      <c r="M137" s="104"/>
      <c r="N137" s="104"/>
      <c r="O137" s="104"/>
      <c r="P137" s="104"/>
    </row>
    <row r="138" spans="8:16" x14ac:dyDescent="0.25">
      <c r="H138" s="104"/>
      <c r="I138" s="104"/>
      <c r="J138" s="104"/>
      <c r="K138" s="104"/>
      <c r="L138" s="104"/>
      <c r="M138" s="104"/>
      <c r="N138" s="104"/>
      <c r="O138" s="104"/>
      <c r="P138" s="104"/>
    </row>
    <row r="139" spans="8:16" ht="15.75" customHeight="1" x14ac:dyDescent="0.25">
      <c r="H139" s="104"/>
      <c r="I139" s="104"/>
      <c r="J139" s="104"/>
      <c r="K139" s="104"/>
      <c r="L139" s="104"/>
      <c r="M139" s="104"/>
      <c r="N139" s="104"/>
      <c r="O139" s="104"/>
      <c r="P139" s="104"/>
    </row>
    <row r="140" spans="8:16" ht="15.75" customHeight="1" x14ac:dyDescent="0.25">
      <c r="H140" s="104"/>
      <c r="I140" s="104"/>
      <c r="J140" s="104"/>
      <c r="K140" s="104"/>
      <c r="L140" s="104"/>
      <c r="M140" s="104"/>
      <c r="N140" s="104"/>
      <c r="O140" s="104"/>
      <c r="P140" s="104"/>
    </row>
    <row r="141" spans="8:16" ht="41.25" customHeight="1" x14ac:dyDescent="0.25">
      <c r="H141" s="104"/>
      <c r="I141" s="104"/>
      <c r="J141" s="104"/>
      <c r="K141" s="104"/>
      <c r="L141" s="104"/>
      <c r="M141" s="104"/>
      <c r="N141" s="104"/>
      <c r="O141" s="104"/>
      <c r="P141" s="104"/>
    </row>
    <row r="142" spans="8:16" ht="15.75" customHeight="1" x14ac:dyDescent="0.25">
      <c r="H142" s="104"/>
      <c r="I142" s="104"/>
      <c r="J142" s="104"/>
      <c r="K142" s="104"/>
      <c r="L142" s="104"/>
      <c r="M142" s="104"/>
      <c r="N142" s="104"/>
      <c r="O142" s="104"/>
      <c r="P142" s="104"/>
    </row>
    <row r="143" spans="8:16" ht="15.75" customHeight="1" x14ac:dyDescent="0.25">
      <c r="H143" s="104"/>
      <c r="I143" s="104"/>
      <c r="J143" s="104"/>
      <c r="K143" s="104"/>
      <c r="L143" s="104"/>
      <c r="M143" s="104"/>
      <c r="N143" s="104"/>
      <c r="O143" s="104"/>
      <c r="P143" s="104"/>
    </row>
    <row r="144" spans="8:16" ht="47.25" customHeight="1" x14ac:dyDescent="0.25">
      <c r="H144" s="104"/>
      <c r="I144" s="104"/>
      <c r="J144" s="104"/>
      <c r="K144" s="104"/>
      <c r="L144" s="104"/>
      <c r="M144" s="104"/>
      <c r="N144" s="104"/>
      <c r="O144" s="104"/>
      <c r="P144" s="104"/>
    </row>
    <row r="145" spans="8:16" x14ac:dyDescent="0.25">
      <c r="H145" s="104"/>
      <c r="I145" s="104"/>
      <c r="J145" s="104"/>
      <c r="K145" s="104"/>
      <c r="L145" s="104"/>
      <c r="M145" s="104"/>
      <c r="N145" s="104"/>
      <c r="O145" s="104"/>
      <c r="P145" s="104"/>
    </row>
    <row r="146" spans="8:16" ht="15.75" customHeight="1" x14ac:dyDescent="0.25">
      <c r="H146" s="104"/>
      <c r="I146" s="104"/>
      <c r="J146" s="104"/>
      <c r="K146" s="104"/>
      <c r="L146" s="104"/>
      <c r="M146" s="104"/>
      <c r="N146" s="104"/>
      <c r="O146" s="104"/>
      <c r="P146" s="104"/>
    </row>
    <row r="147" spans="8:16" ht="15.75" customHeight="1" x14ac:dyDescent="0.25">
      <c r="H147" s="104"/>
      <c r="I147" s="104"/>
      <c r="J147" s="104"/>
      <c r="K147" s="104"/>
      <c r="L147" s="104"/>
      <c r="M147" s="104"/>
      <c r="N147" s="104"/>
      <c r="O147" s="104"/>
      <c r="P147" s="104"/>
    </row>
    <row r="148" spans="8:16" ht="15.75" customHeight="1" x14ac:dyDescent="0.25">
      <c r="H148" s="104"/>
      <c r="I148" s="104"/>
      <c r="J148" s="104"/>
      <c r="K148" s="104"/>
      <c r="L148" s="104"/>
      <c r="M148" s="104"/>
      <c r="N148" s="104"/>
      <c r="O148" s="104"/>
      <c r="P148" s="104"/>
    </row>
    <row r="149" spans="8:16" ht="31.5" customHeight="1" x14ac:dyDescent="0.25">
      <c r="H149" s="104"/>
      <c r="I149" s="104"/>
      <c r="J149" s="104"/>
      <c r="K149" s="104"/>
      <c r="L149" s="104"/>
      <c r="M149" s="104"/>
      <c r="N149" s="104"/>
      <c r="O149" s="104"/>
      <c r="P149" s="104"/>
    </row>
    <row r="150" spans="8:16" ht="15.75" customHeight="1" x14ac:dyDescent="0.25">
      <c r="H150" s="104"/>
      <c r="I150" s="104"/>
      <c r="J150" s="104"/>
      <c r="K150" s="104"/>
      <c r="L150" s="104"/>
      <c r="M150" s="104"/>
      <c r="N150" s="104"/>
      <c r="O150" s="104"/>
      <c r="P150" s="104"/>
    </row>
    <row r="151" spans="8:16" ht="15" customHeight="1" x14ac:dyDescent="0.25">
      <c r="H151" s="104"/>
      <c r="I151" s="104"/>
      <c r="J151" s="104"/>
      <c r="K151" s="104"/>
      <c r="L151" s="104"/>
      <c r="M151" s="104"/>
      <c r="N151" s="104"/>
      <c r="O151" s="104"/>
      <c r="P151" s="104"/>
    </row>
    <row r="152" spans="8:16" ht="15" customHeight="1" x14ac:dyDescent="0.25">
      <c r="H152" s="104"/>
      <c r="I152" s="104"/>
      <c r="J152" s="104"/>
      <c r="K152" s="104"/>
      <c r="L152" s="104"/>
      <c r="M152" s="104"/>
      <c r="N152" s="104"/>
      <c r="O152" s="104"/>
      <c r="P152" s="104"/>
    </row>
    <row r="153" spans="8:16" ht="15" customHeight="1" x14ac:dyDescent="0.25">
      <c r="H153" s="104"/>
      <c r="I153" s="104"/>
      <c r="J153" s="104"/>
      <c r="K153" s="104"/>
      <c r="L153" s="104"/>
      <c r="M153" s="104"/>
      <c r="N153" s="104"/>
      <c r="O153" s="104"/>
      <c r="P153" s="104"/>
    </row>
    <row r="154" spans="8:16" ht="15.75" customHeight="1" x14ac:dyDescent="0.25">
      <c r="H154" s="104"/>
      <c r="I154" s="104"/>
      <c r="J154" s="104"/>
      <c r="K154" s="104"/>
      <c r="L154" s="104"/>
      <c r="M154" s="104"/>
      <c r="N154" s="104"/>
      <c r="O154" s="104"/>
      <c r="P154" s="104"/>
    </row>
    <row r="155" spans="8:16" x14ac:dyDescent="0.25">
      <c r="H155" s="104"/>
      <c r="I155" s="104"/>
      <c r="J155" s="104"/>
      <c r="K155" s="104"/>
      <c r="L155" s="104"/>
      <c r="M155" s="104"/>
      <c r="N155" s="104"/>
      <c r="O155" s="104"/>
      <c r="P155" s="104"/>
    </row>
    <row r="156" spans="8:16" ht="15.75" customHeight="1" x14ac:dyDescent="0.25">
      <c r="H156" s="104"/>
      <c r="I156" s="104"/>
      <c r="J156" s="104"/>
      <c r="K156" s="104"/>
      <c r="L156" s="104"/>
      <c r="M156" s="104"/>
      <c r="N156" s="104"/>
      <c r="O156" s="104"/>
      <c r="P156" s="104"/>
    </row>
    <row r="157" spans="8:16" x14ac:dyDescent="0.25">
      <c r="H157" s="104"/>
      <c r="I157" s="104"/>
      <c r="J157" s="104"/>
      <c r="K157" s="104"/>
      <c r="L157" s="104"/>
      <c r="M157" s="104"/>
      <c r="N157" s="104"/>
      <c r="O157" s="104"/>
      <c r="P157" s="104"/>
    </row>
    <row r="158" spans="8:16" x14ac:dyDescent="0.25">
      <c r="H158" s="104"/>
      <c r="I158" s="104"/>
      <c r="J158" s="104"/>
      <c r="K158" s="104"/>
      <c r="L158" s="104"/>
      <c r="M158" s="104"/>
      <c r="N158" s="104"/>
      <c r="O158" s="104"/>
      <c r="P158" s="104"/>
    </row>
    <row r="159" spans="8:16" x14ac:dyDescent="0.25">
      <c r="H159" s="104"/>
      <c r="I159" s="104"/>
      <c r="J159" s="104"/>
      <c r="K159" s="104"/>
      <c r="L159" s="104"/>
      <c r="M159" s="104"/>
      <c r="N159" s="104"/>
      <c r="O159" s="104"/>
      <c r="P159" s="104"/>
    </row>
    <row r="160" spans="8:16" ht="15.75" customHeight="1" x14ac:dyDescent="0.25">
      <c r="H160" s="104"/>
      <c r="I160" s="104"/>
      <c r="J160" s="104"/>
      <c r="K160" s="104"/>
      <c r="L160" s="104"/>
      <c r="M160" s="104"/>
      <c r="N160" s="104"/>
      <c r="O160" s="104"/>
      <c r="P160" s="104"/>
    </row>
    <row r="161" spans="8:16" ht="15.75" customHeight="1" x14ac:dyDescent="0.25">
      <c r="H161" s="104"/>
      <c r="I161" s="104"/>
      <c r="J161" s="104"/>
      <c r="K161" s="104"/>
      <c r="L161" s="104"/>
      <c r="M161" s="104"/>
      <c r="N161" s="104"/>
      <c r="O161" s="104"/>
      <c r="P161" s="104"/>
    </row>
    <row r="162" spans="8:16" ht="15.75" customHeight="1" x14ac:dyDescent="0.25">
      <c r="H162" s="104"/>
      <c r="I162" s="104"/>
      <c r="J162" s="104"/>
      <c r="K162" s="104"/>
      <c r="L162" s="104"/>
      <c r="M162" s="104"/>
      <c r="N162" s="104"/>
      <c r="O162" s="104"/>
      <c r="P162" s="104"/>
    </row>
    <row r="163" spans="8:16" x14ac:dyDescent="0.25">
      <c r="H163" s="104"/>
      <c r="I163" s="104"/>
      <c r="J163" s="104"/>
      <c r="K163" s="104"/>
      <c r="L163" s="104"/>
      <c r="M163" s="104"/>
      <c r="N163" s="104"/>
      <c r="O163" s="104"/>
      <c r="P163" s="104"/>
    </row>
    <row r="164" spans="8:16" ht="15.75" customHeight="1" x14ac:dyDescent="0.25">
      <c r="H164" s="104"/>
      <c r="I164" s="104"/>
      <c r="J164" s="104"/>
      <c r="K164" s="104"/>
      <c r="L164" s="104"/>
      <c r="M164" s="104"/>
      <c r="N164" s="104"/>
      <c r="O164" s="104"/>
      <c r="P164" s="104"/>
    </row>
    <row r="165" spans="8:16" x14ac:dyDescent="0.25">
      <c r="H165" s="104"/>
      <c r="I165" s="104"/>
      <c r="J165" s="104"/>
      <c r="K165" s="104"/>
      <c r="L165" s="104"/>
      <c r="M165" s="104"/>
      <c r="N165" s="104"/>
      <c r="O165" s="104"/>
      <c r="P165" s="104"/>
    </row>
    <row r="166" spans="8:16" x14ac:dyDescent="0.25">
      <c r="H166" s="104"/>
      <c r="I166" s="104"/>
      <c r="J166" s="104"/>
      <c r="K166" s="104"/>
      <c r="L166" s="104"/>
      <c r="M166" s="104"/>
      <c r="N166" s="104"/>
      <c r="O166" s="104"/>
      <c r="P166" s="104"/>
    </row>
    <row r="167" spans="8:16" x14ac:dyDescent="0.25">
      <c r="H167" s="104"/>
      <c r="I167" s="104"/>
      <c r="J167" s="104"/>
      <c r="K167" s="104"/>
      <c r="L167" s="104"/>
      <c r="M167" s="104"/>
      <c r="N167" s="104"/>
      <c r="O167" s="104"/>
      <c r="P167" s="104"/>
    </row>
    <row r="168" spans="8:16" ht="15.75" customHeight="1" x14ac:dyDescent="0.25">
      <c r="H168" s="104"/>
      <c r="I168" s="104"/>
      <c r="J168" s="104"/>
      <c r="K168" s="104"/>
      <c r="L168" s="104"/>
      <c r="M168" s="104"/>
      <c r="N168" s="104"/>
      <c r="O168" s="104"/>
      <c r="P168" s="104"/>
    </row>
    <row r="169" spans="8:16" x14ac:dyDescent="0.25">
      <c r="H169" s="104"/>
      <c r="I169" s="104"/>
      <c r="J169" s="104"/>
      <c r="K169" s="104"/>
      <c r="L169" s="104"/>
      <c r="M169" s="104"/>
      <c r="N169" s="104"/>
      <c r="O169" s="104"/>
      <c r="P169" s="104"/>
    </row>
    <row r="170" spans="8:16" ht="15.75" customHeight="1" x14ac:dyDescent="0.25">
      <c r="H170" s="104"/>
      <c r="I170" s="104"/>
      <c r="J170" s="104"/>
      <c r="K170" s="104"/>
      <c r="L170" s="104"/>
      <c r="M170" s="104"/>
      <c r="N170" s="104"/>
      <c r="O170" s="104"/>
      <c r="P170" s="104"/>
    </row>
    <row r="171" spans="8:16" ht="15.75" customHeight="1" x14ac:dyDescent="0.25">
      <c r="H171" s="104"/>
      <c r="I171" s="104"/>
      <c r="J171" s="104"/>
      <c r="K171" s="104"/>
      <c r="L171" s="104"/>
      <c r="M171" s="104"/>
      <c r="N171" s="104"/>
      <c r="O171" s="104"/>
      <c r="P171" s="104"/>
    </row>
    <row r="172" spans="8:16" x14ac:dyDescent="0.25">
      <c r="H172" s="104"/>
      <c r="I172" s="104"/>
      <c r="J172" s="104"/>
      <c r="K172" s="104"/>
      <c r="L172" s="104"/>
      <c r="M172" s="104"/>
      <c r="N172" s="104"/>
      <c r="O172" s="104"/>
      <c r="P172" s="104"/>
    </row>
    <row r="173" spans="8:16" x14ac:dyDescent="0.25">
      <c r="H173" s="104"/>
      <c r="I173" s="104"/>
      <c r="J173" s="104"/>
      <c r="K173" s="104"/>
      <c r="L173" s="104"/>
      <c r="M173" s="104"/>
      <c r="N173" s="104"/>
      <c r="O173" s="104"/>
      <c r="P173" s="104"/>
    </row>
    <row r="174" spans="8:16" ht="15.75" customHeight="1" x14ac:dyDescent="0.25">
      <c r="H174" s="104"/>
      <c r="I174" s="104"/>
      <c r="J174" s="104"/>
      <c r="K174" s="104"/>
      <c r="L174" s="104"/>
      <c r="M174" s="104"/>
      <c r="N174" s="104"/>
      <c r="O174" s="104"/>
      <c r="P174" s="104"/>
    </row>
    <row r="175" spans="8:16" ht="15.75" customHeight="1" x14ac:dyDescent="0.25">
      <c r="H175" s="104"/>
      <c r="I175" s="104"/>
      <c r="J175" s="104"/>
      <c r="K175" s="104"/>
      <c r="L175" s="104"/>
      <c r="M175" s="104"/>
      <c r="N175" s="104"/>
      <c r="O175" s="104"/>
      <c r="P175" s="104"/>
    </row>
    <row r="176" spans="8:16" x14ac:dyDescent="0.25">
      <c r="H176" s="104"/>
      <c r="I176" s="104"/>
      <c r="J176" s="104"/>
      <c r="K176" s="104"/>
      <c r="L176" s="104"/>
      <c r="M176" s="104"/>
      <c r="N176" s="104"/>
      <c r="O176" s="104"/>
      <c r="P176" s="104"/>
    </row>
    <row r="177" spans="8:16" ht="16.5" customHeight="1" x14ac:dyDescent="0.25">
      <c r="H177" s="104"/>
      <c r="I177" s="104"/>
      <c r="J177" s="104"/>
      <c r="K177" s="104"/>
      <c r="L177" s="104"/>
      <c r="M177" s="104"/>
      <c r="N177" s="104"/>
      <c r="O177" s="104"/>
      <c r="P177" s="104"/>
    </row>
    <row r="178" spans="8:16" x14ac:dyDescent="0.25">
      <c r="H178" s="104"/>
      <c r="I178" s="104"/>
      <c r="J178" s="104"/>
      <c r="K178" s="104"/>
      <c r="L178" s="104"/>
      <c r="M178" s="104"/>
      <c r="N178" s="104"/>
      <c r="O178" s="104"/>
      <c r="P178" s="104"/>
    </row>
    <row r="179" spans="8:16" ht="15.75" customHeight="1" x14ac:dyDescent="0.25">
      <c r="H179" s="104"/>
      <c r="I179" s="104"/>
      <c r="J179" s="104"/>
      <c r="K179" s="104"/>
      <c r="L179" s="104"/>
      <c r="M179" s="104"/>
      <c r="N179" s="104"/>
      <c r="O179" s="104"/>
      <c r="P179" s="104"/>
    </row>
    <row r="180" spans="8:16" x14ac:dyDescent="0.25">
      <c r="H180" s="104"/>
      <c r="I180" s="104"/>
      <c r="J180" s="104"/>
      <c r="K180" s="104"/>
      <c r="L180" s="104"/>
      <c r="M180" s="104"/>
      <c r="N180" s="104"/>
      <c r="O180" s="104"/>
      <c r="P180" s="104"/>
    </row>
    <row r="181" spans="8:16" x14ac:dyDescent="0.25">
      <c r="H181" s="104"/>
      <c r="I181" s="104"/>
      <c r="J181" s="104"/>
      <c r="K181" s="104"/>
      <c r="L181" s="104"/>
      <c r="M181" s="104"/>
      <c r="N181" s="104"/>
      <c r="O181" s="104"/>
      <c r="P181" s="104"/>
    </row>
    <row r="182" spans="8:16" x14ac:dyDescent="0.25">
      <c r="H182" s="104"/>
      <c r="I182" s="104"/>
      <c r="J182" s="104"/>
      <c r="K182" s="104"/>
      <c r="L182" s="104"/>
      <c r="M182" s="104"/>
      <c r="N182" s="104"/>
      <c r="O182" s="104"/>
      <c r="P182" s="104"/>
    </row>
    <row r="183" spans="8:16" ht="15" customHeight="1" x14ac:dyDescent="0.25">
      <c r="H183" s="104"/>
      <c r="I183" s="104"/>
      <c r="J183" s="104"/>
      <c r="K183" s="104"/>
      <c r="L183" s="104"/>
      <c r="M183" s="104"/>
      <c r="N183" s="104"/>
      <c r="O183" s="104"/>
      <c r="P183" s="104"/>
    </row>
    <row r="184" spans="8:16" ht="15" customHeight="1" x14ac:dyDescent="0.25">
      <c r="H184" s="104"/>
      <c r="I184" s="104"/>
      <c r="J184" s="104"/>
      <c r="K184" s="104"/>
      <c r="L184" s="104"/>
      <c r="M184" s="104"/>
      <c r="N184" s="104"/>
      <c r="O184" s="104"/>
      <c r="P184" s="104"/>
    </row>
    <row r="185" spans="8:16" x14ac:dyDescent="0.25">
      <c r="H185" s="104"/>
      <c r="I185" s="104"/>
      <c r="J185" s="104"/>
      <c r="K185" s="104"/>
      <c r="L185" s="104"/>
      <c r="M185" s="104"/>
      <c r="N185" s="104"/>
      <c r="O185" s="104"/>
      <c r="P185" s="104"/>
    </row>
    <row r="186" spans="8:16" x14ac:dyDescent="0.25">
      <c r="H186" s="104"/>
      <c r="I186" s="104"/>
      <c r="J186" s="104"/>
      <c r="K186" s="104"/>
      <c r="L186" s="104"/>
      <c r="M186" s="104"/>
      <c r="N186" s="104"/>
      <c r="O186" s="104"/>
      <c r="P186" s="104"/>
    </row>
    <row r="187" spans="8:16" x14ac:dyDescent="0.25">
      <c r="H187" s="104"/>
      <c r="I187" s="104"/>
      <c r="J187" s="104"/>
      <c r="K187" s="104"/>
      <c r="L187" s="104"/>
      <c r="M187" s="104"/>
      <c r="N187" s="104"/>
      <c r="O187" s="104"/>
      <c r="P187" s="104"/>
    </row>
    <row r="188" spans="8:16" x14ac:dyDescent="0.25">
      <c r="H188" s="104"/>
      <c r="I188" s="104"/>
      <c r="J188" s="104"/>
      <c r="K188" s="104"/>
      <c r="L188" s="104"/>
      <c r="M188" s="104"/>
      <c r="N188" s="104"/>
      <c r="O188" s="104"/>
      <c r="P188" s="104"/>
    </row>
    <row r="189" spans="8:16" x14ac:dyDescent="0.25">
      <c r="H189" s="104"/>
      <c r="I189" s="104"/>
      <c r="J189" s="104"/>
      <c r="K189" s="104"/>
      <c r="L189" s="104"/>
      <c r="M189" s="104"/>
      <c r="N189" s="104"/>
      <c r="O189" s="104"/>
      <c r="P189" s="104"/>
    </row>
    <row r="232" spans="21:21" x14ac:dyDescent="0.25">
      <c r="U232" s="1" t="s">
        <v>68</v>
      </c>
    </row>
  </sheetData>
  <sheetProtection algorithmName="SHA-512" hashValue="IOwGCGNllfbL7yIUdDW6mQ3WjqD3pPm+vfuYXKrbNcVo7Wixo0po5UZohOmeTk8u2S7d0ZHYChyTAZKQSK1yvA==" saltValue="fKC2+/tsP9Gghv8WDqmIzQ==" spinCount="100000" sheet="1" objects="1" scenarios="1"/>
  <dataConsolidate/>
  <mergeCells count="171">
    <mergeCell ref="C3:D3"/>
    <mergeCell ref="B2:D2"/>
    <mergeCell ref="B51:D51"/>
    <mergeCell ref="B52:D52"/>
    <mergeCell ref="B53:D54"/>
    <mergeCell ref="B58:D58"/>
    <mergeCell ref="B59:D70"/>
    <mergeCell ref="B71:D71"/>
    <mergeCell ref="B72:D72"/>
    <mergeCell ref="B73:D73"/>
    <mergeCell ref="B74:D79"/>
    <mergeCell ref="B80:D88"/>
    <mergeCell ref="F82:G82"/>
    <mergeCell ref="F83:P83"/>
    <mergeCell ref="V82:V83"/>
    <mergeCell ref="T78:U79"/>
    <mergeCell ref="S78:S79"/>
    <mergeCell ref="V78:V79"/>
    <mergeCell ref="S80:S81"/>
    <mergeCell ref="T80:U81"/>
    <mergeCell ref="V80:V81"/>
    <mergeCell ref="F86:G86"/>
    <mergeCell ref="F80:G80"/>
    <mergeCell ref="F84:G84"/>
    <mergeCell ref="F85:G85"/>
    <mergeCell ref="F81:G81"/>
    <mergeCell ref="F87:G87"/>
    <mergeCell ref="F78:G78"/>
    <mergeCell ref="F79:G79"/>
    <mergeCell ref="S82:S83"/>
    <mergeCell ref="T82:U83"/>
    <mergeCell ref="F72:G72"/>
    <mergeCell ref="S75:T75"/>
    <mergeCell ref="S73:T73"/>
    <mergeCell ref="S74:T74"/>
    <mergeCell ref="F76:G76"/>
    <mergeCell ref="F77:P77"/>
    <mergeCell ref="F71:G71"/>
    <mergeCell ref="F75:G75"/>
    <mergeCell ref="F73:G73"/>
    <mergeCell ref="F74:G74"/>
    <mergeCell ref="S77:V77"/>
    <mergeCell ref="U73:V73"/>
    <mergeCell ref="S71:T71"/>
    <mergeCell ref="U70:V70"/>
    <mergeCell ref="U72:V72"/>
    <mergeCell ref="S72:T72"/>
    <mergeCell ref="S65:T65"/>
    <mergeCell ref="U71:V71"/>
    <mergeCell ref="S67:T67"/>
    <mergeCell ref="S70:T70"/>
    <mergeCell ref="S31:T31"/>
    <mergeCell ref="S32:T32"/>
    <mergeCell ref="S33:T33"/>
    <mergeCell ref="S34:T34"/>
    <mergeCell ref="S35:T35"/>
    <mergeCell ref="S37:U37"/>
    <mergeCell ref="S38:U38"/>
    <mergeCell ref="S39:U39"/>
    <mergeCell ref="S40:U40"/>
    <mergeCell ref="S41:V41"/>
    <mergeCell ref="S36:U36"/>
    <mergeCell ref="S47:T47"/>
    <mergeCell ref="U47:V47"/>
    <mergeCell ref="S54:V54"/>
    <mergeCell ref="S55:T55"/>
    <mergeCell ref="S48:V50"/>
    <mergeCell ref="S51:V52"/>
    <mergeCell ref="S42:V42"/>
    <mergeCell ref="S43:T43"/>
    <mergeCell ref="U43:V43"/>
    <mergeCell ref="S46:T46"/>
    <mergeCell ref="F6:P7"/>
    <mergeCell ref="S6:V7"/>
    <mergeCell ref="F9:P9"/>
    <mergeCell ref="F10:G10"/>
    <mergeCell ref="F14:G14"/>
    <mergeCell ref="F12:G12"/>
    <mergeCell ref="S12:T12"/>
    <mergeCell ref="S13:T13"/>
    <mergeCell ref="F13:G13"/>
    <mergeCell ref="S29:T29"/>
    <mergeCell ref="S30:T30"/>
    <mergeCell ref="F21:P21"/>
    <mergeCell ref="F25:P25"/>
    <mergeCell ref="S24:T24"/>
    <mergeCell ref="S14:T14"/>
    <mergeCell ref="F42:G42"/>
    <mergeCell ref="F43:G43"/>
    <mergeCell ref="F17:G17"/>
    <mergeCell ref="S23:T23"/>
    <mergeCell ref="S18:T18"/>
    <mergeCell ref="F33:G33"/>
    <mergeCell ref="F28:G28"/>
    <mergeCell ref="F29:G29"/>
    <mergeCell ref="F30:G30"/>
    <mergeCell ref="F34:G34"/>
    <mergeCell ref="F46:G46"/>
    <mergeCell ref="F39:G39"/>
    <mergeCell ref="F38:P38"/>
    <mergeCell ref="F35:G35"/>
    <mergeCell ref="F44:G44"/>
    <mergeCell ref="F45:G45"/>
    <mergeCell ref="F41:G41"/>
    <mergeCell ref="N1:P1"/>
    <mergeCell ref="R1:S1"/>
    <mergeCell ref="N2:P2"/>
    <mergeCell ref="R2:S2"/>
    <mergeCell ref="N3:P3"/>
    <mergeCell ref="R3:S3"/>
    <mergeCell ref="F22:P22"/>
    <mergeCell ref="S22:T22"/>
    <mergeCell ref="F23:G23"/>
    <mergeCell ref="S10:T10"/>
    <mergeCell ref="F11:G11"/>
    <mergeCell ref="S11:T11"/>
    <mergeCell ref="F19:G19"/>
    <mergeCell ref="S19:T19"/>
    <mergeCell ref="F20:G20"/>
    <mergeCell ref="S20:T20"/>
    <mergeCell ref="M5:N5"/>
    <mergeCell ref="O5:P5"/>
    <mergeCell ref="S21:T21"/>
    <mergeCell ref="F47:G47"/>
    <mergeCell ref="F48:G48"/>
    <mergeCell ref="F63:G63"/>
    <mergeCell ref="F64:G64"/>
    <mergeCell ref="F65:G65"/>
    <mergeCell ref="F66:G66"/>
    <mergeCell ref="F67:G67"/>
    <mergeCell ref="F70:G70"/>
    <mergeCell ref="F54:G54"/>
    <mergeCell ref="F49:G49"/>
    <mergeCell ref="F50:P50"/>
    <mergeCell ref="F55:G55"/>
    <mergeCell ref="F56:P56"/>
    <mergeCell ref="F68:G68"/>
    <mergeCell ref="F69:P69"/>
    <mergeCell ref="F62:G62"/>
    <mergeCell ref="F57:G57"/>
    <mergeCell ref="F58:G58"/>
    <mergeCell ref="F59:G59"/>
    <mergeCell ref="F60:G60"/>
    <mergeCell ref="F61:G61"/>
    <mergeCell ref="F51:G51"/>
    <mergeCell ref="F52:G52"/>
    <mergeCell ref="F53:G53"/>
    <mergeCell ref="U46:V46"/>
    <mergeCell ref="B6:D7"/>
    <mergeCell ref="B8:D8"/>
    <mergeCell ref="B9:D9"/>
    <mergeCell ref="F26:G26"/>
    <mergeCell ref="F27:G27"/>
    <mergeCell ref="F24:G24"/>
    <mergeCell ref="S17:T17"/>
    <mergeCell ref="F18:G18"/>
    <mergeCell ref="S25:T25"/>
    <mergeCell ref="S26:T26"/>
    <mergeCell ref="S27:T27"/>
    <mergeCell ref="F31:G31"/>
    <mergeCell ref="F37:G37"/>
    <mergeCell ref="F16:G16"/>
    <mergeCell ref="F15:G15"/>
    <mergeCell ref="S15:T15"/>
    <mergeCell ref="S16:T16"/>
    <mergeCell ref="S44:T44"/>
    <mergeCell ref="S45:T45"/>
    <mergeCell ref="S28:T28"/>
    <mergeCell ref="F40:G40"/>
    <mergeCell ref="F36:G36"/>
    <mergeCell ref="F32:P32"/>
  </mergeCells>
  <phoneticPr fontId="62" type="noConversion"/>
  <conditionalFormatting sqref="A6:A50">
    <cfRule type="containsText" dxfId="249" priority="43" operator="containsText" text="n/a">
      <formula>NOT(ISERROR(SEARCH("n/a",A6)))</formula>
    </cfRule>
  </conditionalFormatting>
  <conditionalFormatting sqref="B58:B59">
    <cfRule type="containsText" dxfId="248" priority="19" operator="containsText" text="n/a">
      <formula>NOT(ISERROR(SEARCH("n/a",B58)))</formula>
    </cfRule>
  </conditionalFormatting>
  <conditionalFormatting sqref="B71">
    <cfRule type="containsText" dxfId="247" priority="28" operator="containsText" text="n/a">
      <formula>NOT(ISERROR(SEARCH("n/a",B71)))</formula>
    </cfRule>
  </conditionalFormatting>
  <conditionalFormatting sqref="B73">
    <cfRule type="containsText" dxfId="246" priority="15" operator="containsText" text="n/a">
      <formula>NOT(ISERROR(SEARCH("n/a",B73)))</formula>
    </cfRule>
  </conditionalFormatting>
  <conditionalFormatting sqref="B8">
    <cfRule type="containsText" dxfId="245" priority="52" operator="containsText" text="n/a">
      <formula>NOT(ISERROR(SEARCH("n/a",B8)))</formula>
    </cfRule>
  </conditionalFormatting>
  <conditionalFormatting sqref="B51:B52">
    <cfRule type="containsText" dxfId="244" priority="17" operator="containsText" text="n/a">
      <formula>NOT(ISERROR(SEARCH("n/a",B51)))</formula>
    </cfRule>
  </conditionalFormatting>
  <conditionalFormatting sqref="B55:D55">
    <cfRule type="containsText" dxfId="243" priority="29" operator="containsText" text="n/a">
      <formula>NOT(ISERROR(SEARCH("n/a",B55)))</formula>
    </cfRule>
  </conditionalFormatting>
  <conditionalFormatting sqref="B10:D10">
    <cfRule type="containsText" dxfId="242" priority="51" operator="containsText" text="n/a">
      <formula>NOT(ISERROR(SEARCH("n/a",B10)))</formula>
    </cfRule>
  </conditionalFormatting>
  <conditionalFormatting sqref="C13:D48">
    <cfRule type="containsErrors" dxfId="241" priority="54">
      <formula>ISERROR(C13)</formula>
    </cfRule>
  </conditionalFormatting>
  <conditionalFormatting sqref="F9:F10">
    <cfRule type="containsText" dxfId="240" priority="45" operator="containsText" text="n/a">
      <formula>NOT(ISERROR(SEARCH("n/a",F9)))</formula>
    </cfRule>
  </conditionalFormatting>
  <conditionalFormatting sqref="F21:F22">
    <cfRule type="containsText" dxfId="239" priority="22" operator="containsText" text="n/a">
      <formula>NOT(ISERROR(SEARCH("n/a",F21)))</formula>
    </cfRule>
  </conditionalFormatting>
  <conditionalFormatting sqref="F25">
    <cfRule type="containsText" dxfId="238" priority="36" operator="containsText" text="n/a">
      <formula>NOT(ISERROR(SEARCH("n/a",F25)))</formula>
    </cfRule>
  </conditionalFormatting>
  <conditionalFormatting sqref="F32">
    <cfRule type="containsText" dxfId="237" priority="35" operator="containsText" text="n/a">
      <formula>NOT(ISERROR(SEARCH("n/a",F32)))</formula>
    </cfRule>
  </conditionalFormatting>
  <conditionalFormatting sqref="F38">
    <cfRule type="containsText" dxfId="236" priority="34" operator="containsText" text="n/a">
      <formula>NOT(ISERROR(SEARCH("n/a",F38)))</formula>
    </cfRule>
  </conditionalFormatting>
  <conditionalFormatting sqref="F50">
    <cfRule type="containsText" dxfId="235" priority="33" operator="containsText" text="n/a">
      <formula>NOT(ISERROR(SEARCH("n/a",F50)))</formula>
    </cfRule>
  </conditionalFormatting>
  <conditionalFormatting sqref="F56">
    <cfRule type="containsText" dxfId="234" priority="16" operator="containsText" text="n/a">
      <formula>NOT(ISERROR(SEARCH("n/a",F56)))</formula>
    </cfRule>
  </conditionalFormatting>
  <conditionalFormatting sqref="F69">
    <cfRule type="containsText" dxfId="233" priority="32" operator="containsText" text="n/a">
      <formula>NOT(ISERROR(SEARCH("n/a",F69)))</formula>
    </cfRule>
  </conditionalFormatting>
  <conditionalFormatting sqref="F77">
    <cfRule type="containsText" dxfId="232" priority="31" operator="containsText" text="n/a">
      <formula>NOT(ISERROR(SEARCH("n/a",F77)))</formula>
    </cfRule>
  </conditionalFormatting>
  <conditionalFormatting sqref="F83">
    <cfRule type="containsText" dxfId="231" priority="30" operator="containsText" text="n/a">
      <formula>NOT(ISERROR(SEARCH("n/a",F83)))</formula>
    </cfRule>
  </conditionalFormatting>
  <conditionalFormatting sqref="F8:P8">
    <cfRule type="containsText" dxfId="230" priority="46" operator="containsText" text="n/a">
      <formula>NOT(ISERROR(SEARCH("n/a",F8)))</formula>
    </cfRule>
  </conditionalFormatting>
  <conditionalFormatting sqref="H10:P10">
    <cfRule type="containsText" dxfId="229" priority="44" operator="containsText" text="n/a">
      <formula>NOT(ISERROR(SEARCH("n/a",H10)))</formula>
    </cfRule>
  </conditionalFormatting>
  <conditionalFormatting sqref="K11:Q15 H11:J20 K16:O16 Q16:Q21 K17:N20">
    <cfRule type="containsErrors" dxfId="228" priority="55">
      <formula>ISERROR(H11)</formula>
    </cfRule>
  </conditionalFormatting>
  <conditionalFormatting sqref="Q9:Q10 K11:Q15 H11:J20 K16:O16 Q16:Q21 K17:N20">
    <cfRule type="containsText" dxfId="227" priority="53" operator="containsText" text="n/a">
      <formula>NOT(ISERROR(SEARCH("n/a",H9)))</formula>
    </cfRule>
  </conditionalFormatting>
  <conditionalFormatting sqref="S36:S39">
    <cfRule type="containsText" dxfId="226" priority="37" operator="containsText" text="Rate">
      <formula>NOT(ISERROR(SEARCH("Rate",S36)))</formula>
    </cfRule>
    <cfRule type="expression" dxfId="225" priority="38">
      <formula>Output_NetPrice_JM &lt; 99</formula>
    </cfRule>
    <cfRule type="expression" dxfId="224" priority="39">
      <formula>Output_NetPrice_ExpNR &lt; 99</formula>
    </cfRule>
  </conditionalFormatting>
  <conditionalFormatting sqref="S55">
    <cfRule type="containsText" dxfId="223" priority="27" operator="containsText" text="n/a">
      <formula>NOT(ISERROR(SEARCH("n/a",S55)))</formula>
    </cfRule>
  </conditionalFormatting>
  <conditionalFormatting sqref="S65">
    <cfRule type="containsText" dxfId="222" priority="26" operator="containsText" text="n/a">
      <formula>NOT(ISERROR(SEARCH("n/a",S65)))</formula>
    </cfRule>
  </conditionalFormatting>
  <conditionalFormatting sqref="S67">
    <cfRule type="containsText" dxfId="221" priority="25" operator="containsText" text="n/a">
      <formula>NOT(ISERROR(SEARCH("n/a",S67)))</formula>
    </cfRule>
  </conditionalFormatting>
  <conditionalFormatting sqref="S70">
    <cfRule type="containsText" dxfId="220" priority="24" operator="containsText" text="n/a">
      <formula>NOT(ISERROR(SEARCH("n/a",S70)))</formula>
    </cfRule>
  </conditionalFormatting>
  <conditionalFormatting sqref="U70">
    <cfRule type="containsText" dxfId="219" priority="23" operator="containsText" text="n/a">
      <formula>NOT(ISERROR(SEARCH("n/a",U70)))</formula>
    </cfRule>
  </conditionalFormatting>
  <conditionalFormatting sqref="S8:W8">
    <cfRule type="containsText" dxfId="218" priority="47" operator="containsText" text="n/a">
      <formula>NOT(ISERROR(SEARCH("n/a",S8)))</formula>
    </cfRule>
  </conditionalFormatting>
  <conditionalFormatting sqref="U10">
    <cfRule type="containsText" dxfId="217" priority="48" operator="containsText" text="Rate">
      <formula>NOT(ISERROR(SEARCH("Rate",U10)))</formula>
    </cfRule>
    <cfRule type="expression" dxfId="216" priority="49">
      <formula>Output_NetPrice_JM &lt; 99</formula>
    </cfRule>
    <cfRule type="expression" dxfId="215" priority="50">
      <formula>Output_NetPrice_ExpNR &lt; 99</formula>
    </cfRule>
  </conditionalFormatting>
  <conditionalFormatting sqref="U55:V55">
    <cfRule type="containsText" dxfId="214" priority="21" operator="containsText" text="n/a">
      <formula>NOT(ISERROR(SEARCH("n/a",U55)))</formula>
    </cfRule>
  </conditionalFormatting>
  <conditionalFormatting sqref="U62:V62">
    <cfRule type="containsText" dxfId="213" priority="20" operator="containsText" text="n/a">
      <formula>NOT(ISERROR(SEARCH("n/a",U62)))</formula>
    </cfRule>
  </conditionalFormatting>
  <conditionalFormatting sqref="V10:V35">
    <cfRule type="expression" dxfId="212" priority="13">
      <formula>V10&lt;0</formula>
    </cfRule>
    <cfRule type="containsErrors" dxfId="211" priority="56">
      <formula>ISERROR(V10)</formula>
    </cfRule>
  </conditionalFormatting>
  <conditionalFormatting sqref="V36:V39">
    <cfRule type="containsText" dxfId="210" priority="40" operator="containsText" text="Rate">
      <formula>NOT(ISERROR(SEARCH("Rate",V36)))</formula>
    </cfRule>
    <cfRule type="expression" dxfId="209" priority="41">
      <formula>Output_NetPrice_JM &lt; 99</formula>
    </cfRule>
    <cfRule type="expression" dxfId="208" priority="42">
      <formula>Output_NetPrice_ExpNR &lt; 99</formula>
    </cfRule>
  </conditionalFormatting>
  <conditionalFormatting sqref="S42:S46">
    <cfRule type="containsText" dxfId="207" priority="9" operator="containsText" text="Rate">
      <formula>NOT(ISERROR(SEARCH("Rate",S42)))</formula>
    </cfRule>
    <cfRule type="expression" dxfId="206" priority="10">
      <formula>Output_NetPrice_JM &lt; 99</formula>
    </cfRule>
    <cfRule type="expression" dxfId="205" priority="11">
      <formula>Output_NetPrice_ExpNR &lt; 99</formula>
    </cfRule>
  </conditionalFormatting>
  <conditionalFormatting sqref="U43:U45">
    <cfRule type="containsText" dxfId="204" priority="6" operator="containsText" text="Rate">
      <formula>NOT(ISERROR(SEARCH("Rate",U43)))</formula>
    </cfRule>
    <cfRule type="expression" dxfId="203" priority="7">
      <formula>Output_NetPrice_JM &lt; 99</formula>
    </cfRule>
    <cfRule type="expression" dxfId="202" priority="8">
      <formula>Output_NetPrice_ExpNR &lt; 99</formula>
    </cfRule>
  </conditionalFormatting>
  <conditionalFormatting sqref="V44:V45">
    <cfRule type="containsText" dxfId="201" priority="3" operator="containsText" text="Rate">
      <formula>NOT(ISERROR(SEARCH("Rate",V44)))</formula>
    </cfRule>
    <cfRule type="expression" dxfId="200" priority="4">
      <formula>Output_NetPrice_JM &lt; 99</formula>
    </cfRule>
    <cfRule type="expression" dxfId="199" priority="5">
      <formula>Output_NetPrice_ExpNR &lt; 99</formula>
    </cfRule>
  </conditionalFormatting>
  <conditionalFormatting sqref="S77">
    <cfRule type="containsText" dxfId="198" priority="1" operator="containsText" text="n/a">
      <formula>NOT(ISERROR(SEARCH("n/a",S77)))</formula>
    </cfRule>
  </conditionalFormatting>
  <hyperlinks>
    <hyperlink ref="B72:C72" r:id="rId1" display="Click Here" xr:uid="{BAF7E10A-4ABA-4BF5-A5C7-991E2D2651DF}"/>
  </hyperlinks>
  <pageMargins left="0.7" right="0.7" top="0.75" bottom="0.75" header="0.3" footer="0.3"/>
  <pageSetup paperSize="3" scale="36" orientation="landscape" r:id="rId2"/>
  <drawing r:id="rId3"/>
  <extLst>
    <ext xmlns:x14="http://schemas.microsoft.com/office/spreadsheetml/2009/9/main" uri="{CCE6A557-97BC-4b89-ADB6-D9C93CAAB3DF}">
      <x14:dataValidations xmlns:xm="http://schemas.microsoft.com/office/excel/2006/main" count="24">
        <x14:dataValidation type="list" allowBlank="1" showInputMessage="1" showErrorMessage="1" xr:uid="{4E90BC7D-47E2-4E96-9FF4-C47BA8F13750}">
          <x14:formula1>
            <xm:f>'Feed(WS)'!$N$81:$N$121</xm:f>
          </x14:formula1>
          <xm:sqref>U10</xm:sqref>
        </x14:dataValidation>
        <x14:dataValidation type="list" allowBlank="1" showInputMessage="1" showErrorMessage="1" xr:uid="{2887DFDD-EF38-4B3A-808C-64087E4EBE72}">
          <x14:formula1>
            <xm:f>'Feed(WS)'!$B$2:$B$11</xm:f>
          </x14:formula1>
          <xm:sqref>U11</xm:sqref>
        </x14:dataValidation>
        <x14:dataValidation type="list" allowBlank="1" showInputMessage="1" showErrorMessage="1" xr:uid="{4F4CC4DF-8D0F-469C-BBD1-8E77237CC4E6}">
          <x14:formula1>
            <xm:f>'Feed(WS)'!$A$2:$A$12</xm:f>
          </x14:formula1>
          <xm:sqref>U12</xm:sqref>
        </x14:dataValidation>
        <x14:dataValidation type="list" allowBlank="1" showInputMessage="1" showErrorMessage="1" xr:uid="{B2525786-D983-4EEB-B10F-A9735F200BC4}">
          <x14:formula1>
            <xm:f>'Feed(WS)'!$C$2:$C$4</xm:f>
          </x14:formula1>
          <xm:sqref>U13</xm:sqref>
        </x14:dataValidation>
        <x14:dataValidation type="list" allowBlank="1" showInputMessage="1" showErrorMessage="1" xr:uid="{1642F841-2740-4C53-9BFA-462D2A9554BF}">
          <x14:formula1>
            <xm:f>'Feed(WS)'!$C$14:$C$18</xm:f>
          </x14:formula1>
          <xm:sqref>U14</xm:sqref>
        </x14:dataValidation>
        <x14:dataValidation type="list" allowBlank="1" showInputMessage="1" showErrorMessage="1" xr:uid="{A2780823-CA83-4B53-A155-C52DC13049CD}">
          <x14:formula1>
            <xm:f>'Feed(WS)'!$D$14:$D$20</xm:f>
          </x14:formula1>
          <xm:sqref>U15</xm:sqref>
        </x14:dataValidation>
        <x14:dataValidation type="list" allowBlank="1" showInputMessage="1" showErrorMessage="1" xr:uid="{4E50F4FD-924A-4077-9C07-0EF170CA25F1}">
          <x14:formula1>
            <xm:f>'Feed(WS)'!$E$14:$E$19</xm:f>
          </x14:formula1>
          <xm:sqref>U16</xm:sqref>
        </x14:dataValidation>
        <x14:dataValidation type="list" allowBlank="1" showInputMessage="1" showErrorMessage="1" xr:uid="{2924FF18-7189-4513-8C98-67A2A81D91EA}">
          <x14:formula1>
            <xm:f>'Feed(WS)'!$D$2:$D$4</xm:f>
          </x14:formula1>
          <xm:sqref>U17</xm:sqref>
        </x14:dataValidation>
        <x14:dataValidation type="list" allowBlank="1" showInputMessage="1" showErrorMessage="1" xr:uid="{99988901-059F-4873-A52F-A2C9A04FF54E}">
          <x14:formula1>
            <xm:f>'Feed(WS)'!$E$2:$E$9</xm:f>
          </x14:formula1>
          <xm:sqref>U18</xm:sqref>
        </x14:dataValidation>
        <x14:dataValidation type="list" allowBlank="1" showInputMessage="1" showErrorMessage="1" xr:uid="{BF4404D6-0813-4480-9EC6-67EAB058CAF4}">
          <x14:formula1>
            <xm:f>'Feed(WS)'!$P$2:$P$6</xm:f>
          </x14:formula1>
          <xm:sqref>U19</xm:sqref>
        </x14:dataValidation>
        <x14:dataValidation type="list" allowBlank="1" showInputMessage="1" showErrorMessage="1" xr:uid="{6FA5A8AC-A5C4-4779-93DF-44070033ACD9}">
          <x14:formula1>
            <xm:f>'Feed(WS)'!$F$2:$F$5</xm:f>
          </x14:formula1>
          <xm:sqref>U20</xm:sqref>
        </x14:dataValidation>
        <x14:dataValidation type="list" allowBlank="1" showInputMessage="1" showErrorMessage="1" xr:uid="{9D9CF93B-C20D-4DC2-98ED-8B7F7AB45B5C}">
          <x14:formula1>
            <xm:f>'Feed(WS)'!$J$2:$J$7</xm:f>
          </x14:formula1>
          <xm:sqref>U22</xm:sqref>
        </x14:dataValidation>
        <x14:dataValidation type="list" allowBlank="1" showInputMessage="1" showErrorMessage="1" xr:uid="{708526B6-821D-43BA-9D97-F0B5D5EE1294}">
          <x14:formula1>
            <xm:f>'Feed(WS)'!$L$2:$L$6</xm:f>
          </x14:formula1>
          <xm:sqref>U23</xm:sqref>
        </x14:dataValidation>
        <x14:dataValidation type="list" allowBlank="1" showInputMessage="1" showErrorMessage="1" xr:uid="{F7C751E4-B977-4FA1-B736-9D1E9A4DB2A4}">
          <x14:formula1>
            <xm:f>'Feed(WS)'!$M$2:$M$13</xm:f>
          </x14:formula1>
          <xm:sqref>U25</xm:sqref>
        </x14:dataValidation>
        <x14:dataValidation type="list" allowBlank="1" showInputMessage="1" showErrorMessage="1" xr:uid="{5E42C949-6081-4C27-BBB8-98D92EDE523F}">
          <x14:formula1>
            <xm:f>'Feed(WS)'!$I$2:$I$4</xm:f>
          </x14:formula1>
          <xm:sqref>U26</xm:sqref>
        </x14:dataValidation>
        <x14:dataValidation type="list" allowBlank="1" showInputMessage="1" showErrorMessage="1" xr:uid="{68FC418B-D866-45B7-ABB8-D73FEB8B7590}">
          <x14:formula1>
            <xm:f>'Feed(WS)'!$H$2:$H$14</xm:f>
          </x14:formula1>
          <xm:sqref>U27</xm:sqref>
        </x14:dataValidation>
        <x14:dataValidation type="list" allowBlank="1" showInputMessage="1" showErrorMessage="1" xr:uid="{C8671AD6-C071-41F6-8397-6966E26B161D}">
          <x14:formula1>
            <xm:f>'Feed(WS)'!$J$14:$J$16</xm:f>
          </x14:formula1>
          <xm:sqref>U28</xm:sqref>
        </x14:dataValidation>
        <x14:dataValidation type="list" allowBlank="1" showInputMessage="1" showErrorMessage="1" xr:uid="{7DB80D1F-A8A2-4053-947F-94C60432C480}">
          <x14:formula1>
            <xm:f>'Feed(WS)'!$T$2:$T$17</xm:f>
          </x14:formula1>
          <xm:sqref>U29</xm:sqref>
        </x14:dataValidation>
        <x14:dataValidation type="list" allowBlank="1" showInputMessage="1" showErrorMessage="1" xr:uid="{7BB9DDB9-08A1-44D5-93BE-8CD7E9F9D25D}">
          <x14:formula1>
            <xm:f>'Feed(WS)'!$N$2:$N$6</xm:f>
          </x14:formula1>
          <xm:sqref>U30</xm:sqref>
        </x14:dataValidation>
        <x14:dataValidation type="list" allowBlank="1" showInputMessage="1" showErrorMessage="1" xr:uid="{1E96180C-1C69-48BB-92E1-4928314C56C1}">
          <x14:formula1>
            <xm:f>'Feed(WS)'!$R$2:$R$5</xm:f>
          </x14:formula1>
          <xm:sqref>U31</xm:sqref>
        </x14:dataValidation>
        <x14:dataValidation type="list" allowBlank="1" showInputMessage="1" showErrorMessage="1" xr:uid="{37D0E958-C76B-451D-8723-C051ECFD6ED6}">
          <x14:formula1>
            <xm:f>'Feed(WS)'!$S$2:$S$4</xm:f>
          </x14:formula1>
          <xm:sqref>U32</xm:sqref>
        </x14:dataValidation>
        <x14:dataValidation type="list" allowBlank="1" showInputMessage="1" showErrorMessage="1" xr:uid="{05BCA6A8-4FC2-410E-836B-81E781F9CCBD}">
          <x14:formula1>
            <xm:f>'Feed(WS)'!$K$2:$K$10</xm:f>
          </x14:formula1>
          <xm:sqref>U24</xm:sqref>
        </x14:dataValidation>
        <x14:dataValidation type="list" allowBlank="1" showInputMessage="1" showErrorMessage="1" xr:uid="{E3FF145D-0471-4855-9BFD-C57B3AEB015E}">
          <x14:formula1>
            <xm:f>'Feed(WS)'!$T$160:$T$163</xm:f>
          </x14:formula1>
          <xm:sqref>U34</xm:sqref>
        </x14:dataValidation>
        <x14:dataValidation type="list" allowBlank="1" showInputMessage="1" showErrorMessage="1" xr:uid="{1BAA591D-9ED9-4072-BC9F-BBF28BB02DC7}">
          <x14:formula1>
            <xm:f>'Feed(WS)'!$G$2:$G$13</xm:f>
          </x14:formula1>
          <xm:sqref>U21</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D421DA-ACD5-478C-AECA-DF98E6740A50}">
  <sheetPr codeName="Sheet3">
    <tabColor theme="4" tint="-0.499984740745262"/>
    <pageSetUpPr fitToPage="1"/>
  </sheetPr>
  <dimension ref="A1:AI105"/>
  <sheetViews>
    <sheetView showGridLines="0" zoomScaleNormal="100" workbookViewId="0"/>
  </sheetViews>
  <sheetFormatPr defaultColWidth="9.140625" defaultRowHeight="15" x14ac:dyDescent="0.25"/>
  <cols>
    <col min="1" max="1" width="2.85546875" style="1" customWidth="1"/>
    <col min="2" max="2" width="16.7109375" style="1" customWidth="1"/>
    <col min="3" max="3" width="18.5703125" style="1" customWidth="1"/>
    <col min="4" max="4" width="16.7109375" style="1" customWidth="1"/>
    <col min="5" max="5" width="3.42578125" style="1" customWidth="1"/>
    <col min="6" max="6" width="15.5703125" style="1" customWidth="1"/>
    <col min="7" max="7" width="15.28515625" style="1" customWidth="1"/>
    <col min="8" max="8" width="9.5703125" style="1" customWidth="1"/>
    <col min="9" max="10" width="8.85546875" style="1" customWidth="1"/>
    <col min="11" max="11" width="9.85546875" style="1" customWidth="1"/>
    <col min="12" max="12" width="10.42578125" style="1" customWidth="1"/>
    <col min="13" max="13" width="9.28515625" style="1" customWidth="1"/>
    <col min="14" max="15" width="13.140625" style="1" customWidth="1"/>
    <col min="16" max="16" width="3.7109375" style="1" customWidth="1"/>
    <col min="17" max="17" width="21.28515625" style="1" customWidth="1"/>
    <col min="18" max="18" width="12.28515625" style="1" customWidth="1"/>
    <col min="19" max="19" width="22.85546875" style="1" customWidth="1"/>
    <col min="20" max="20" width="21.7109375" style="1" customWidth="1"/>
    <col min="21" max="21" width="3.28515625" style="1" customWidth="1"/>
    <col min="22" max="22" width="12.28515625" style="1" customWidth="1"/>
    <col min="23" max="23" width="11" style="1" customWidth="1"/>
    <col min="24" max="25" width="9.140625" style="1"/>
    <col min="26" max="26" width="9.42578125" style="1" customWidth="1"/>
    <col min="27" max="27" width="17.140625" style="1" customWidth="1"/>
    <col min="28" max="16384" width="9.140625" style="1"/>
  </cols>
  <sheetData>
    <row r="1" spans="1:22" ht="17.45" customHeight="1" x14ac:dyDescent="0.25">
      <c r="I1" s="113"/>
      <c r="J1" s="113"/>
      <c r="K1" s="113"/>
      <c r="L1" s="768" t="s">
        <v>0</v>
      </c>
      <c r="M1" s="768"/>
      <c r="N1" s="768"/>
      <c r="O1" s="768"/>
      <c r="P1" s="113"/>
      <c r="Q1" s="113"/>
      <c r="R1" s="113"/>
      <c r="S1" s="3"/>
      <c r="T1" s="3"/>
      <c r="U1" s="3"/>
    </row>
    <row r="2" spans="1:22" ht="17.45" customHeight="1" x14ac:dyDescent="0.25">
      <c r="B2" s="733" t="s">
        <v>938</v>
      </c>
      <c r="C2" s="734"/>
      <c r="D2" s="734"/>
      <c r="I2" s="114"/>
      <c r="J2" s="114"/>
      <c r="K2" s="114"/>
      <c r="L2" s="769" t="s">
        <v>1</v>
      </c>
      <c r="M2" s="769"/>
      <c r="N2" s="769"/>
      <c r="O2" s="769"/>
      <c r="P2" s="114"/>
      <c r="Q2" s="113"/>
      <c r="R2" s="113"/>
      <c r="S2" s="3"/>
      <c r="T2" s="3"/>
      <c r="U2" s="3"/>
      <c r="V2" s="115"/>
    </row>
    <row r="3" spans="1:22" ht="17.45" customHeight="1" x14ac:dyDescent="0.25">
      <c r="B3" s="513" t="s">
        <v>824</v>
      </c>
      <c r="C3" s="731" t="s">
        <v>934</v>
      </c>
      <c r="D3" s="732"/>
      <c r="I3" s="114"/>
      <c r="J3" s="114"/>
      <c r="K3" s="114"/>
      <c r="L3" s="769" t="s">
        <v>2</v>
      </c>
      <c r="M3" s="769"/>
      <c r="N3" s="769"/>
      <c r="O3" s="769"/>
      <c r="P3" s="114"/>
      <c r="Q3" s="114"/>
      <c r="R3" s="114"/>
      <c r="V3" s="116"/>
    </row>
    <row r="4" spans="1:22" ht="17.45" customHeight="1" x14ac:dyDescent="0.25">
      <c r="B4"/>
      <c r="C4"/>
      <c r="D4"/>
      <c r="H4" s="9"/>
      <c r="I4" s="9"/>
      <c r="J4" s="9"/>
      <c r="K4" s="117"/>
      <c r="L4" s="118"/>
      <c r="M4" s="118"/>
      <c r="N4" s="666"/>
      <c r="O4" s="666"/>
      <c r="R4" s="3"/>
      <c r="S4" s="3"/>
    </row>
    <row r="5" spans="1:22" ht="17.45" customHeight="1" thickBot="1" x14ac:dyDescent="0.3">
      <c r="B5" s="517"/>
      <c r="C5" s="517"/>
      <c r="H5" s="9"/>
      <c r="I5" s="9"/>
      <c r="J5" s="9"/>
      <c r="K5" s="10"/>
      <c r="L5" s="666" t="s">
        <v>3</v>
      </c>
      <c r="M5" s="666"/>
      <c r="N5" s="666">
        <v>46251</v>
      </c>
      <c r="O5" s="666"/>
      <c r="Q5" s="496"/>
      <c r="R5" s="3"/>
      <c r="S5" s="3"/>
    </row>
    <row r="6" spans="1:22" ht="17.45" customHeight="1" x14ac:dyDescent="0.25">
      <c r="A6" s="14"/>
      <c r="B6" s="778" t="s">
        <v>4</v>
      </c>
      <c r="C6" s="779"/>
      <c r="D6" s="780"/>
      <c r="E6" s="119"/>
      <c r="F6" s="770" t="s">
        <v>176</v>
      </c>
      <c r="G6" s="771"/>
      <c r="H6" s="771"/>
      <c r="I6" s="771"/>
      <c r="J6" s="771"/>
      <c r="K6" s="771"/>
      <c r="L6" s="771"/>
      <c r="M6" s="771"/>
      <c r="N6" s="771"/>
      <c r="O6" s="772"/>
      <c r="P6" s="14"/>
      <c r="Q6" s="676" t="s">
        <v>6</v>
      </c>
      <c r="R6" s="677"/>
      <c r="S6" s="677"/>
      <c r="T6" s="678"/>
      <c r="U6" s="14"/>
    </row>
    <row r="7" spans="1:22" ht="17.45" customHeight="1" thickBot="1" x14ac:dyDescent="0.3">
      <c r="A7" s="14"/>
      <c r="B7" s="781"/>
      <c r="C7" s="782"/>
      <c r="D7" s="783"/>
      <c r="E7" s="120"/>
      <c r="F7" s="773"/>
      <c r="G7" s="774"/>
      <c r="H7" s="774"/>
      <c r="I7" s="774"/>
      <c r="J7" s="774"/>
      <c r="K7" s="774"/>
      <c r="L7" s="774"/>
      <c r="M7" s="774"/>
      <c r="N7" s="774"/>
      <c r="O7" s="775"/>
      <c r="P7" s="14"/>
      <c r="Q7" s="679"/>
      <c r="R7" s="680"/>
      <c r="S7" s="680"/>
      <c r="T7" s="681"/>
      <c r="U7" s="14"/>
    </row>
    <row r="8" spans="1:22" ht="15.75" customHeight="1" x14ac:dyDescent="0.25">
      <c r="A8" s="14"/>
      <c r="B8" s="121"/>
      <c r="C8" s="122"/>
      <c r="D8" s="123"/>
      <c r="E8" s="11"/>
      <c r="F8" s="121"/>
      <c r="G8" s="122"/>
      <c r="H8" s="122"/>
      <c r="I8" s="122"/>
      <c r="J8" s="122"/>
      <c r="K8" s="122"/>
      <c r="L8" s="122"/>
      <c r="M8" s="122"/>
      <c r="N8" s="122"/>
      <c r="O8" s="123"/>
      <c r="P8" s="14"/>
      <c r="Q8" s="15"/>
      <c r="R8" s="17"/>
      <c r="S8" s="17"/>
      <c r="T8" s="16"/>
      <c r="U8" s="14"/>
      <c r="V8" s="46"/>
    </row>
    <row r="9" spans="1:22" ht="15.75" customHeight="1" thickBot="1" x14ac:dyDescent="0.3">
      <c r="A9" s="14"/>
      <c r="B9" s="784" t="s">
        <v>7</v>
      </c>
      <c r="C9" s="785"/>
      <c r="D9" s="786"/>
      <c r="E9" s="79"/>
      <c r="F9" s="682" t="s">
        <v>8</v>
      </c>
      <c r="G9" s="683"/>
      <c r="H9" s="683"/>
      <c r="I9" s="683"/>
      <c r="J9" s="683"/>
      <c r="K9" s="683"/>
      <c r="L9" s="683"/>
      <c r="M9" s="683"/>
      <c r="N9" s="683"/>
      <c r="O9" s="684"/>
      <c r="P9" s="14"/>
      <c r="Q9" s="19"/>
      <c r="R9" s="20"/>
      <c r="S9" s="21" t="s">
        <v>9</v>
      </c>
      <c r="T9" s="22"/>
      <c r="U9" s="14"/>
    </row>
    <row r="10" spans="1:22" ht="15" customHeight="1" thickBot="1" x14ac:dyDescent="0.3">
      <c r="A10" s="14"/>
      <c r="B10" s="23" t="s">
        <v>10</v>
      </c>
      <c r="C10" s="25" t="s">
        <v>177</v>
      </c>
      <c r="D10" s="24" t="s">
        <v>178</v>
      </c>
      <c r="E10" s="26"/>
      <c r="F10" s="685" t="s">
        <v>12</v>
      </c>
      <c r="G10" s="686"/>
      <c r="H10" s="447" t="s">
        <v>13</v>
      </c>
      <c r="I10" s="447" t="s">
        <v>14</v>
      </c>
      <c r="J10" s="447" t="s">
        <v>15</v>
      </c>
      <c r="K10" s="447" t="s">
        <v>16</v>
      </c>
      <c r="L10" s="447" t="s">
        <v>17</v>
      </c>
      <c r="M10" s="447" t="s">
        <v>18</v>
      </c>
      <c r="N10" s="447" t="s">
        <v>19</v>
      </c>
      <c r="O10" s="446" t="s">
        <v>20</v>
      </c>
      <c r="P10" s="14"/>
      <c r="Q10" s="776" t="s">
        <v>22</v>
      </c>
      <c r="R10" s="777"/>
      <c r="S10" s="124">
        <v>0</v>
      </c>
      <c r="T10" s="125"/>
      <c r="U10" s="14"/>
    </row>
    <row r="11" spans="1:22" ht="14.25" customHeight="1" x14ac:dyDescent="0.25">
      <c r="A11" s="14"/>
      <c r="B11" s="34">
        <v>5.99</v>
      </c>
      <c r="C11" s="451">
        <v>97.837999999999994</v>
      </c>
      <c r="D11" s="374" t="e">
        <v>#N/A</v>
      </c>
      <c r="E11" s="38"/>
      <c r="F11" s="663" t="s">
        <v>23</v>
      </c>
      <c r="G11" s="664">
        <v>0</v>
      </c>
      <c r="H11" s="29">
        <v>1.375</v>
      </c>
      <c r="I11" s="29">
        <v>1.1499999999999999</v>
      </c>
      <c r="J11" s="29">
        <v>1.0249999999999999</v>
      </c>
      <c r="K11" s="29">
        <v>1</v>
      </c>
      <c r="L11" s="29">
        <v>0.75</v>
      </c>
      <c r="M11" s="29">
        <v>0.55000000000000004</v>
      </c>
      <c r="N11" s="29">
        <v>-0.625</v>
      </c>
      <c r="O11" s="30">
        <v>-2.5</v>
      </c>
      <c r="P11" s="14"/>
      <c r="Q11" s="627" t="s">
        <v>24</v>
      </c>
      <c r="R11" s="628"/>
      <c r="S11" s="32" t="s">
        <v>32</v>
      </c>
      <c r="T11" s="125"/>
      <c r="U11" s="14"/>
    </row>
    <row r="12" spans="1:22" ht="15" customHeight="1" x14ac:dyDescent="0.25">
      <c r="A12" s="14"/>
      <c r="B12" s="34">
        <v>6.125</v>
      </c>
      <c r="C12" s="435">
        <v>98.462500000000048</v>
      </c>
      <c r="D12" s="374" t="e">
        <v>#N/A</v>
      </c>
      <c r="E12" s="38"/>
      <c r="F12" s="766" t="s">
        <v>25</v>
      </c>
      <c r="G12" s="767">
        <v>0</v>
      </c>
      <c r="H12" s="35">
        <v>1.1499999999999999</v>
      </c>
      <c r="I12" s="35">
        <v>1</v>
      </c>
      <c r="J12" s="29">
        <v>1</v>
      </c>
      <c r="K12" s="35">
        <v>0.85</v>
      </c>
      <c r="L12" s="35">
        <v>0.5</v>
      </c>
      <c r="M12" s="29">
        <v>0.42499999999999999</v>
      </c>
      <c r="N12" s="29">
        <v>-0.875</v>
      </c>
      <c r="O12" s="30">
        <v>-2.75</v>
      </c>
      <c r="P12" s="14"/>
      <c r="Q12" s="627" t="s">
        <v>26</v>
      </c>
      <c r="R12" s="628"/>
      <c r="S12" s="32" t="s">
        <v>32</v>
      </c>
      <c r="T12" s="126" t="b">
        <f>IF(ISNUMBER(MATCH($S$11,'Feed(DSCR)'!$B$3:$B$11,0)),
   INDEX($H$11:$O$19,MATCH($S$12,$F$11:$F$19,0),MATCH($S$11,$H$10:$O$10,0)))</f>
        <v>0</v>
      </c>
      <c r="U12" s="14"/>
    </row>
    <row r="13" spans="1:22" ht="15.75" customHeight="1" x14ac:dyDescent="0.25">
      <c r="A13" s="14"/>
      <c r="B13" s="34">
        <v>6.25</v>
      </c>
      <c r="C13" s="375">
        <v>98.900000000000048</v>
      </c>
      <c r="D13" s="374" t="e">
        <v>#N/A</v>
      </c>
      <c r="E13" s="38"/>
      <c r="F13" s="766" t="s">
        <v>27</v>
      </c>
      <c r="G13" s="767">
        <v>0</v>
      </c>
      <c r="H13" s="35">
        <v>1</v>
      </c>
      <c r="I13" s="35">
        <v>0.875</v>
      </c>
      <c r="J13" s="29">
        <v>0.875</v>
      </c>
      <c r="K13" s="35">
        <v>0.71299999999999997</v>
      </c>
      <c r="L13" s="35">
        <v>0.4</v>
      </c>
      <c r="M13" s="29">
        <v>0.21299999999999999</v>
      </c>
      <c r="N13" s="29">
        <v>-1</v>
      </c>
      <c r="O13" s="30">
        <v>-3</v>
      </c>
      <c r="P13" s="14"/>
      <c r="Q13" s="627" t="s">
        <v>28</v>
      </c>
      <c r="R13" s="628"/>
      <c r="S13" s="32" t="s">
        <v>181</v>
      </c>
      <c r="T13" s="126" t="e">
        <f>IF(AND($S$24="DSCR 5-8",$S$13="Core DSCR (≥1.20)"),0, IF(OR($S$11="", $S$13=""), "",
   INDEX($H$23:$O$28,
         MATCH($S$13,$F$23:$F$28,0),
         MATCH($S$11,$H$10:$O$10,0))))</f>
        <v>#N/A</v>
      </c>
      <c r="U13" s="14"/>
    </row>
    <row r="14" spans="1:22" ht="15.75" customHeight="1" x14ac:dyDescent="0.25">
      <c r="A14" s="14"/>
      <c r="B14" s="34">
        <v>6.375</v>
      </c>
      <c r="C14" s="35">
        <v>99.275500000000051</v>
      </c>
      <c r="D14" s="374" t="e">
        <v>#N/A</v>
      </c>
      <c r="E14" s="38"/>
      <c r="F14" s="766" t="s">
        <v>30</v>
      </c>
      <c r="G14" s="767">
        <v>0</v>
      </c>
      <c r="H14" s="35">
        <v>0.875</v>
      </c>
      <c r="I14" s="35">
        <v>0.75</v>
      </c>
      <c r="J14" s="29">
        <v>0.75</v>
      </c>
      <c r="K14" s="35">
        <v>0.65</v>
      </c>
      <c r="L14" s="35">
        <v>2.5000000000000001E-2</v>
      </c>
      <c r="M14" s="29">
        <v>-0.1</v>
      </c>
      <c r="N14" s="29">
        <v>-1.875</v>
      </c>
      <c r="O14" s="30">
        <v>-3.5</v>
      </c>
      <c r="P14" s="14"/>
      <c r="Q14" s="627" t="s">
        <v>31</v>
      </c>
      <c r="R14" s="628"/>
      <c r="S14" s="32" t="s">
        <v>32</v>
      </c>
      <c r="T14" s="126">
        <f>'Feed(DSCR)'!$O$180</f>
        <v>0</v>
      </c>
      <c r="U14" s="14"/>
      <c r="V14" s="33"/>
    </row>
    <row r="15" spans="1:22" ht="15" customHeight="1" x14ac:dyDescent="0.25">
      <c r="A15" s="14"/>
      <c r="B15" s="34">
        <v>6.4989999999999997</v>
      </c>
      <c r="C15" s="35">
        <v>99.775500000000051</v>
      </c>
      <c r="D15" s="374" t="e">
        <v>#N/A</v>
      </c>
      <c r="E15" s="38"/>
      <c r="F15" s="766" t="s">
        <v>33</v>
      </c>
      <c r="G15" s="767">
        <v>0</v>
      </c>
      <c r="H15" s="35">
        <v>0.65</v>
      </c>
      <c r="I15" s="35">
        <v>0.375</v>
      </c>
      <c r="J15" s="29">
        <v>0.125</v>
      </c>
      <c r="K15" s="35">
        <v>2.5000000000000001E-2</v>
      </c>
      <c r="L15" s="35">
        <v>-0.25</v>
      </c>
      <c r="M15" s="29">
        <v>-1</v>
      </c>
      <c r="N15" s="29">
        <v>-2.625</v>
      </c>
      <c r="O15" s="39" t="e">
        <v>#N/A</v>
      </c>
      <c r="P15" s="14"/>
      <c r="Q15" s="627" t="s">
        <v>34</v>
      </c>
      <c r="R15" s="628"/>
      <c r="S15" s="32" t="s">
        <v>32</v>
      </c>
      <c r="T15" s="126" t="e">
        <f>IF(OR($S$11="", $S$15=""), "",
   INDEX($H$71:$O$75,
         MATCH($S$15,$F$71:$F$75,0),
         MATCH($S$11,$H$10:$O$10,0)))</f>
        <v>#N/A</v>
      </c>
      <c r="U15" s="14"/>
      <c r="V15" s="33"/>
    </row>
    <row r="16" spans="1:22" ht="14.25" customHeight="1" x14ac:dyDescent="0.25">
      <c r="A16" s="14"/>
      <c r="B16" s="34">
        <v>6.625</v>
      </c>
      <c r="C16" s="35">
        <v>100.24350000000005</v>
      </c>
      <c r="D16" s="374" t="e">
        <v>#N/A</v>
      </c>
      <c r="E16" s="38"/>
      <c r="F16" s="766" t="s">
        <v>36</v>
      </c>
      <c r="G16" s="767">
        <v>0</v>
      </c>
      <c r="H16" s="35">
        <v>0.25</v>
      </c>
      <c r="I16" s="35">
        <v>-0.125</v>
      </c>
      <c r="J16" s="29">
        <v>-0.125</v>
      </c>
      <c r="K16" s="35">
        <v>-0.25</v>
      </c>
      <c r="L16" s="35">
        <v>-0.85</v>
      </c>
      <c r="M16" s="29">
        <v>-1.5</v>
      </c>
      <c r="N16" s="29">
        <v>-3.375</v>
      </c>
      <c r="O16" s="39" t="e">
        <v>#N/A</v>
      </c>
      <c r="P16" s="14"/>
      <c r="Q16" s="627" t="s">
        <v>37</v>
      </c>
      <c r="R16" s="628"/>
      <c r="S16" s="32" t="s">
        <v>32</v>
      </c>
      <c r="T16" s="126" t="e">
        <f>IF(OR($S$11="", $S$16="", $S$16="NONE"),0,
   INDEX($H$77:$O$80,
         MATCH($S$16,$F$77:$F$80,0),
         MATCH($S$11,$H$10:$O$10,0)))</f>
        <v>#N/A</v>
      </c>
      <c r="U16" s="14"/>
      <c r="V16" s="33"/>
    </row>
    <row r="17" spans="1:26" ht="15" customHeight="1" x14ac:dyDescent="0.25">
      <c r="A17" s="14"/>
      <c r="B17" s="34">
        <v>6.75</v>
      </c>
      <c r="C17" s="35">
        <v>100.68150000000004</v>
      </c>
      <c r="D17" s="374" t="e">
        <v>#N/A</v>
      </c>
      <c r="E17" s="38"/>
      <c r="F17" s="766" t="s">
        <v>39</v>
      </c>
      <c r="G17" s="767">
        <v>0</v>
      </c>
      <c r="H17" s="35">
        <v>-0.25</v>
      </c>
      <c r="I17" s="35">
        <v>-0.25</v>
      </c>
      <c r="J17" s="29">
        <v>-0.75</v>
      </c>
      <c r="K17" s="35">
        <v>-1.25</v>
      </c>
      <c r="L17" s="35">
        <v>-1.9750000000000001</v>
      </c>
      <c r="M17" s="29">
        <v>-2.6</v>
      </c>
      <c r="N17" s="40" t="e">
        <v>#N/A</v>
      </c>
      <c r="O17" s="39" t="e">
        <v>#N/A</v>
      </c>
      <c r="P17" s="14"/>
      <c r="Q17" s="627" t="s">
        <v>40</v>
      </c>
      <c r="R17" s="628"/>
      <c r="S17" s="32" t="s">
        <v>177</v>
      </c>
      <c r="T17" s="126">
        <v>0</v>
      </c>
      <c r="U17" s="14"/>
      <c r="V17" s="33"/>
    </row>
    <row r="18" spans="1:26" ht="15" customHeight="1" x14ac:dyDescent="0.25">
      <c r="A18" s="14"/>
      <c r="B18" s="34">
        <v>6.875</v>
      </c>
      <c r="C18" s="35">
        <v>101.10350000000005</v>
      </c>
      <c r="D18" s="374" t="e">
        <v>#N/A</v>
      </c>
      <c r="E18" s="38"/>
      <c r="F18" s="766" t="s">
        <v>41</v>
      </c>
      <c r="G18" s="767">
        <v>0</v>
      </c>
      <c r="H18" s="35">
        <v>-0.89999999999999991</v>
      </c>
      <c r="I18" s="35">
        <v>-1.25</v>
      </c>
      <c r="J18" s="29">
        <v>-1.65</v>
      </c>
      <c r="K18" s="35">
        <v>-1.875</v>
      </c>
      <c r="L18" s="35">
        <v>-2.875</v>
      </c>
      <c r="M18" s="29">
        <v>-3.625</v>
      </c>
      <c r="N18" s="40" t="e">
        <v>#N/A</v>
      </c>
      <c r="O18" s="39" t="e">
        <v>#N/A</v>
      </c>
      <c r="P18" s="14"/>
      <c r="Q18" s="627" t="s">
        <v>42</v>
      </c>
      <c r="R18" s="628"/>
      <c r="S18" s="32" t="s">
        <v>32</v>
      </c>
      <c r="T18" s="126" t="e">
        <f>IF(OR($S$11="", $S$18="", $S$18="None in this Dropdown"),0,
   INDEX($H$46:$O$49,
         MATCH($S$18,$F$46:$F$49,0),
         MATCH($S$11,$H$10:$O$10,0)))</f>
        <v>#N/A</v>
      </c>
      <c r="U18" s="14"/>
      <c r="V18" s="33"/>
    </row>
    <row r="19" spans="1:26" ht="15.75" customHeight="1" x14ac:dyDescent="0.25">
      <c r="A19" s="14"/>
      <c r="B19" s="34">
        <v>6.9989999999999997</v>
      </c>
      <c r="C19" s="35">
        <v>101.50950000000005</v>
      </c>
      <c r="D19" s="374" t="e">
        <v>#N/A</v>
      </c>
      <c r="E19" s="38"/>
      <c r="F19" s="766" t="s">
        <v>43</v>
      </c>
      <c r="G19" s="767">
        <v>0</v>
      </c>
      <c r="H19" s="35">
        <v>-2</v>
      </c>
      <c r="I19" s="35">
        <v>-2.25</v>
      </c>
      <c r="J19" s="29">
        <v>-2.4</v>
      </c>
      <c r="K19" s="35">
        <v>-2.875</v>
      </c>
      <c r="L19" s="35">
        <v>-3.625</v>
      </c>
      <c r="M19" s="40" t="e">
        <v>#N/A</v>
      </c>
      <c r="N19" s="40" t="e">
        <v>#N/A</v>
      </c>
      <c r="O19" s="39" t="e">
        <v>#N/A</v>
      </c>
      <c r="P19" s="14"/>
      <c r="Q19" s="627" t="s">
        <v>593</v>
      </c>
      <c r="R19" s="628"/>
      <c r="S19" s="32" t="s">
        <v>32</v>
      </c>
      <c r="T19" s="126">
        <f>'Feed(DSCR)'!$R$175</f>
        <v>0</v>
      </c>
      <c r="U19" s="14"/>
      <c r="V19" s="33"/>
    </row>
    <row r="20" spans="1:26" ht="15.75" customHeight="1" x14ac:dyDescent="0.25">
      <c r="A20" s="14"/>
      <c r="B20" s="34">
        <v>7.125</v>
      </c>
      <c r="C20" s="35">
        <v>101.88450000000005</v>
      </c>
      <c r="D20" s="374" t="e">
        <v>#N/A</v>
      </c>
      <c r="E20" s="38"/>
      <c r="F20" s="685"/>
      <c r="G20" s="686"/>
      <c r="H20" s="447"/>
      <c r="I20" s="447"/>
      <c r="J20" s="447"/>
      <c r="K20" s="447"/>
      <c r="L20" s="447"/>
      <c r="M20" s="447"/>
      <c r="N20" s="447"/>
      <c r="O20" s="446"/>
      <c r="P20" s="14"/>
      <c r="Q20" s="627" t="s">
        <v>47</v>
      </c>
      <c r="R20" s="628"/>
      <c r="S20" s="32" t="s">
        <v>32</v>
      </c>
      <c r="T20" s="126" t="e">
        <f>IF(OR($S$11="", $S$20=""), "",
   INDEX($H$36:$O$44,
         MATCH($S$20,$F$36:$F$44,0),
         MATCH($S$11,$H$10:$O$10,0)))</f>
        <v>#N/A</v>
      </c>
      <c r="U20" s="14"/>
      <c r="V20" s="33"/>
      <c r="Z20" s="127"/>
    </row>
    <row r="21" spans="1:26" ht="15.75" customHeight="1" x14ac:dyDescent="0.25">
      <c r="A21" s="14"/>
      <c r="B21" s="34">
        <v>7.25</v>
      </c>
      <c r="C21" s="35">
        <v>102.25950000000005</v>
      </c>
      <c r="D21" s="35">
        <v>97.35</v>
      </c>
      <c r="E21" s="38"/>
      <c r="F21" s="763"/>
      <c r="G21" s="764"/>
      <c r="H21" s="764"/>
      <c r="I21" s="764"/>
      <c r="J21" s="764"/>
      <c r="K21" s="764"/>
      <c r="L21" s="764"/>
      <c r="M21" s="764"/>
      <c r="N21" s="764"/>
      <c r="O21" s="765"/>
      <c r="P21" s="14"/>
      <c r="Q21" s="627" t="s">
        <v>48</v>
      </c>
      <c r="R21" s="628"/>
      <c r="S21" s="32" t="s">
        <v>32</v>
      </c>
      <c r="T21" s="126" t="e">
        <f>IF(OR($S$11="", $S$21=""), "",
   INDEX($H$30:$O$34,
         MATCH($S$21,$F$30:$F$34,0),
         MATCH($S$11,$H$10:$O$10,0)))</f>
        <v>#N/A</v>
      </c>
      <c r="U21" s="14"/>
      <c r="V21" s="33"/>
    </row>
    <row r="22" spans="1:26" x14ac:dyDescent="0.25">
      <c r="A22" s="14"/>
      <c r="B22" s="34">
        <v>7.375</v>
      </c>
      <c r="C22" s="35">
        <v>102.63450000000005</v>
      </c>
      <c r="D22" s="35">
        <v>97.724999999999994</v>
      </c>
      <c r="E22" s="38"/>
      <c r="F22" s="658" t="s">
        <v>28</v>
      </c>
      <c r="G22" s="659"/>
      <c r="H22" s="659"/>
      <c r="I22" s="659"/>
      <c r="J22" s="659"/>
      <c r="K22" s="659"/>
      <c r="L22" s="659"/>
      <c r="M22" s="659"/>
      <c r="N22" s="659"/>
      <c r="O22" s="660"/>
      <c r="P22" s="14"/>
      <c r="Q22" s="627" t="s">
        <v>179</v>
      </c>
      <c r="R22" s="628"/>
      <c r="S22" s="32" t="s">
        <v>32</v>
      </c>
      <c r="T22" s="126">
        <v>0</v>
      </c>
      <c r="U22" s="760"/>
      <c r="V22" s="33"/>
    </row>
    <row r="23" spans="1:26" x14ac:dyDescent="0.25">
      <c r="A23" s="14"/>
      <c r="B23" s="34">
        <v>7.4989999999999997</v>
      </c>
      <c r="C23" s="35">
        <v>102.97850000000005</v>
      </c>
      <c r="D23" s="35">
        <v>98.35</v>
      </c>
      <c r="E23" s="38"/>
      <c r="F23" s="640" t="s">
        <v>180</v>
      </c>
      <c r="G23" s="641"/>
      <c r="H23" s="35">
        <v>0.5</v>
      </c>
      <c r="I23" s="35">
        <v>0.5</v>
      </c>
      <c r="J23" s="35">
        <v>0.5</v>
      </c>
      <c r="K23" s="35">
        <v>0.5</v>
      </c>
      <c r="L23" s="35">
        <v>0.5</v>
      </c>
      <c r="M23" s="35">
        <v>0.5</v>
      </c>
      <c r="N23" s="35" t="e">
        <v>#N/A</v>
      </c>
      <c r="O23" s="36" t="e">
        <v>#N/A</v>
      </c>
      <c r="P23" s="14"/>
      <c r="Q23" s="627" t="s">
        <v>50</v>
      </c>
      <c r="R23" s="628"/>
      <c r="S23" s="32" t="s">
        <v>239</v>
      </c>
      <c r="T23" s="126">
        <v>0</v>
      </c>
      <c r="U23" s="760"/>
      <c r="V23" s="33"/>
      <c r="Z23" s="46"/>
    </row>
    <row r="24" spans="1:26" ht="15.75" customHeight="1" x14ac:dyDescent="0.25">
      <c r="A24" s="14"/>
      <c r="B24" s="34">
        <v>7.625</v>
      </c>
      <c r="C24" s="35">
        <v>103.29050000000005</v>
      </c>
      <c r="D24" s="35">
        <v>98.85</v>
      </c>
      <c r="E24" s="38"/>
      <c r="F24" s="640" t="s">
        <v>181</v>
      </c>
      <c r="G24" s="641"/>
      <c r="H24" s="35">
        <v>0.375</v>
      </c>
      <c r="I24" s="35">
        <v>0.375</v>
      </c>
      <c r="J24" s="35">
        <v>0.375</v>
      </c>
      <c r="K24" s="35">
        <v>0.375</v>
      </c>
      <c r="L24" s="35">
        <v>0.375</v>
      </c>
      <c r="M24" s="35">
        <v>0.375</v>
      </c>
      <c r="N24" s="35">
        <v>0.375</v>
      </c>
      <c r="O24" s="36">
        <v>0.375</v>
      </c>
      <c r="P24" s="14"/>
      <c r="Q24" s="627" t="s">
        <v>51</v>
      </c>
      <c r="R24" s="628"/>
      <c r="S24" s="32" t="s">
        <v>32</v>
      </c>
      <c r="T24" s="126">
        <f>'Feed(DSCR)'!$P$175</f>
        <v>0</v>
      </c>
      <c r="U24" s="760"/>
      <c r="V24" s="33"/>
      <c r="Z24" s="46"/>
    </row>
    <row r="25" spans="1:26" ht="15.75" customHeight="1" x14ac:dyDescent="0.25">
      <c r="A25" s="14"/>
      <c r="B25" s="34">
        <v>7.75</v>
      </c>
      <c r="C25" s="35">
        <v>103.57150000000004</v>
      </c>
      <c r="D25" s="35">
        <v>99.1</v>
      </c>
      <c r="E25" s="38"/>
      <c r="F25" s="640" t="s">
        <v>182</v>
      </c>
      <c r="G25" s="641"/>
      <c r="H25" s="35">
        <v>0</v>
      </c>
      <c r="I25" s="35">
        <v>0</v>
      </c>
      <c r="J25" s="35">
        <v>0</v>
      </c>
      <c r="K25" s="35">
        <v>0</v>
      </c>
      <c r="L25" s="35">
        <v>0</v>
      </c>
      <c r="M25" s="35">
        <v>0</v>
      </c>
      <c r="N25" s="35">
        <v>0</v>
      </c>
      <c r="O25" s="35">
        <v>0</v>
      </c>
      <c r="P25" s="14"/>
      <c r="Q25" s="627" t="s">
        <v>53</v>
      </c>
      <c r="R25" s="628"/>
      <c r="S25" s="32" t="s">
        <v>54</v>
      </c>
      <c r="T25" s="126" t="e">
        <f>'Feed(DSCR)'!$O$175</f>
        <v>#N/A</v>
      </c>
      <c r="U25" s="760"/>
      <c r="V25" s="33"/>
    </row>
    <row r="26" spans="1:26" x14ac:dyDescent="0.25">
      <c r="A26" s="14"/>
      <c r="B26" s="34">
        <v>7.875</v>
      </c>
      <c r="C26" s="35">
        <v>103.85350000000005</v>
      </c>
      <c r="D26" s="35">
        <v>99.35</v>
      </c>
      <c r="E26" s="38"/>
      <c r="F26" s="640" t="s">
        <v>183</v>
      </c>
      <c r="G26" s="641"/>
      <c r="H26" s="35">
        <v>-2</v>
      </c>
      <c r="I26" s="35">
        <v>-2</v>
      </c>
      <c r="J26" s="35">
        <v>-2</v>
      </c>
      <c r="K26" s="35">
        <v>-2</v>
      </c>
      <c r="L26" s="35">
        <v>-2</v>
      </c>
      <c r="M26" s="35">
        <v>-2</v>
      </c>
      <c r="N26" s="35" t="e">
        <v>#N/A</v>
      </c>
      <c r="O26" s="36" t="e">
        <v>#N/A</v>
      </c>
      <c r="P26" s="14"/>
      <c r="Q26" s="627" t="s">
        <v>56</v>
      </c>
      <c r="R26" s="628"/>
      <c r="S26" s="32" t="s">
        <v>32</v>
      </c>
      <c r="T26" s="126">
        <f>'Feed(DSCR)'!$Q$180</f>
        <v>0</v>
      </c>
      <c r="U26" s="760"/>
      <c r="V26" s="33"/>
    </row>
    <row r="27" spans="1:26" ht="15.75" customHeight="1" x14ac:dyDescent="0.25">
      <c r="A27" s="14"/>
      <c r="B27" s="34">
        <v>7.9989999999999997</v>
      </c>
      <c r="C27" s="35">
        <v>104.13450000000005</v>
      </c>
      <c r="D27" s="35">
        <v>99.85</v>
      </c>
      <c r="E27" s="38"/>
      <c r="F27" s="640" t="s">
        <v>184</v>
      </c>
      <c r="G27" s="641"/>
      <c r="H27" s="35">
        <v>-3</v>
      </c>
      <c r="I27" s="35">
        <v>-3</v>
      </c>
      <c r="J27" s="35">
        <v>-3</v>
      </c>
      <c r="K27" s="35">
        <v>-3</v>
      </c>
      <c r="L27" s="35">
        <v>-3</v>
      </c>
      <c r="M27" s="35" t="e">
        <v>#N/A</v>
      </c>
      <c r="N27" s="35" t="e">
        <v>#N/A</v>
      </c>
      <c r="O27" s="36" t="e">
        <v>#N/A</v>
      </c>
      <c r="P27" s="14"/>
      <c r="Q27" s="627" t="s">
        <v>59</v>
      </c>
      <c r="R27" s="628"/>
      <c r="S27" s="32" t="s">
        <v>32</v>
      </c>
      <c r="T27" s="126">
        <f>IF($S$11="", "",
   IF($S$27="Choose a Selection",0,
      INDEX($H$51:$O$62,
           MATCH($S$27,$F$51:$F$62,0),
           MATCH($S$11,$H$10:$O$10,0))))</f>
        <v>0</v>
      </c>
      <c r="U27" s="760"/>
      <c r="V27" s="33"/>
      <c r="W27" s="3"/>
      <c r="X27" s="3"/>
      <c r="Y27" s="3"/>
    </row>
    <row r="28" spans="1:26" ht="15.75" customHeight="1" x14ac:dyDescent="0.25">
      <c r="A28" s="14"/>
      <c r="B28" s="34">
        <v>8.125</v>
      </c>
      <c r="C28" s="35">
        <v>104.41550000000005</v>
      </c>
      <c r="D28" s="35">
        <v>100.1</v>
      </c>
      <c r="E28" s="38"/>
      <c r="F28" s="640" t="s">
        <v>185</v>
      </c>
      <c r="G28" s="641"/>
      <c r="H28" s="35">
        <v>-1.75</v>
      </c>
      <c r="I28" s="35">
        <v>-1.75</v>
      </c>
      <c r="J28" s="35">
        <v>-1.75</v>
      </c>
      <c r="K28" s="35">
        <v>-1.75</v>
      </c>
      <c r="L28" s="35">
        <v>-1.75</v>
      </c>
      <c r="M28" s="35">
        <v>-1.75</v>
      </c>
      <c r="N28" s="35">
        <v>-1.75</v>
      </c>
      <c r="O28" s="36" t="e">
        <v>#N/A</v>
      </c>
      <c r="P28" s="14"/>
      <c r="Q28" s="627" t="s">
        <v>61</v>
      </c>
      <c r="R28" s="628"/>
      <c r="S28" s="32"/>
      <c r="T28" s="126">
        <v>0</v>
      </c>
      <c r="U28" s="760"/>
      <c r="V28" s="33"/>
      <c r="W28" s="3"/>
      <c r="X28" s="3"/>
      <c r="Y28" s="3"/>
    </row>
    <row r="29" spans="1:26" x14ac:dyDescent="0.25">
      <c r="A29" s="14"/>
      <c r="B29" s="34">
        <v>8.25</v>
      </c>
      <c r="C29" s="35">
        <v>104.69650000000004</v>
      </c>
      <c r="D29" s="35">
        <v>100.35</v>
      </c>
      <c r="E29" s="38"/>
      <c r="F29" s="746" t="s">
        <v>48</v>
      </c>
      <c r="G29" s="747"/>
      <c r="H29" s="747"/>
      <c r="I29" s="747"/>
      <c r="J29" s="747"/>
      <c r="K29" s="747"/>
      <c r="L29" s="747"/>
      <c r="M29" s="747"/>
      <c r="N29" s="747"/>
      <c r="O29" s="748"/>
      <c r="P29" s="14"/>
      <c r="Q29" s="627" t="s">
        <v>63</v>
      </c>
      <c r="R29" s="628"/>
      <c r="S29" s="32" t="s">
        <v>32</v>
      </c>
      <c r="T29" s="126">
        <f>'Feed(DSCR)'!$O$185</f>
        <v>0</v>
      </c>
      <c r="U29" s="760"/>
      <c r="V29" s="33"/>
      <c r="W29" s="47"/>
      <c r="X29" s="47"/>
      <c r="Y29" s="47"/>
    </row>
    <row r="30" spans="1:26" x14ac:dyDescent="0.25">
      <c r="A30" s="14"/>
      <c r="B30" s="34">
        <v>8.375</v>
      </c>
      <c r="C30" s="35">
        <v>104.97850000000005</v>
      </c>
      <c r="D30" s="35">
        <v>100.6</v>
      </c>
      <c r="E30" s="38"/>
      <c r="F30" s="640" t="s">
        <v>69</v>
      </c>
      <c r="G30" s="641"/>
      <c r="H30" s="35">
        <v>0</v>
      </c>
      <c r="I30" s="35">
        <v>0</v>
      </c>
      <c r="J30" s="35">
        <v>0</v>
      </c>
      <c r="K30" s="35">
        <v>0</v>
      </c>
      <c r="L30" s="35">
        <v>0</v>
      </c>
      <c r="M30" s="35">
        <v>0</v>
      </c>
      <c r="N30" s="35">
        <v>0</v>
      </c>
      <c r="O30" s="36">
        <v>0</v>
      </c>
      <c r="P30" s="14"/>
      <c r="Q30" s="627" t="s">
        <v>65</v>
      </c>
      <c r="R30" s="628"/>
      <c r="S30" s="48" t="s">
        <v>66</v>
      </c>
      <c r="T30" s="126" t="e">
        <f>'Feed(DSCR)'!$R$180</f>
        <v>#N/A</v>
      </c>
      <c r="U30" s="760"/>
      <c r="V30" s="33"/>
    </row>
    <row r="31" spans="1:26" x14ac:dyDescent="0.25">
      <c r="A31" s="14"/>
      <c r="B31" s="34">
        <v>8.4990000000000006</v>
      </c>
      <c r="C31" s="35">
        <v>105.25950000000005</v>
      </c>
      <c r="D31" s="35">
        <v>100.97499999999999</v>
      </c>
      <c r="E31" s="38"/>
      <c r="F31" s="640" t="s">
        <v>71</v>
      </c>
      <c r="G31" s="641"/>
      <c r="H31" s="35">
        <v>0</v>
      </c>
      <c r="I31" s="35">
        <v>0</v>
      </c>
      <c r="J31" s="35">
        <v>0</v>
      </c>
      <c r="K31" s="35">
        <v>0</v>
      </c>
      <c r="L31" s="35">
        <v>0</v>
      </c>
      <c r="M31" s="35">
        <v>0</v>
      </c>
      <c r="N31" s="35">
        <v>0</v>
      </c>
      <c r="O31" s="36">
        <v>0.25</v>
      </c>
      <c r="P31" s="14"/>
      <c r="Q31" s="627" t="s">
        <v>67</v>
      </c>
      <c r="R31" s="628"/>
      <c r="S31" s="48" t="s">
        <v>68</v>
      </c>
      <c r="T31" s="126" cm="1">
        <f t="array" ref="T31">IF(OR(
      AND(OR($S$31='Feed(DSCR)'!$R$4:$R$5), $S$21&lt;&gt;'Feed(DSCR)'!$J$3),
      AND(OR($S$31='Feed(DSCR)'!$R$4:$R$5), $S$25&lt;&gt;'Feed(DSCR)'!$M$4),
      AND(OR($S$31='Feed(DSCR)'!$R$4:$R$5), $S$21&lt;&gt;'Feed(DSCR)'!$L$3:$L$4),
   ),
   NA(),
   0)</f>
        <v>0</v>
      </c>
      <c r="U31" s="760"/>
      <c r="V31" s="33"/>
    </row>
    <row r="32" spans="1:26" x14ac:dyDescent="0.25">
      <c r="A32" s="14"/>
      <c r="B32" s="34">
        <v>8.625</v>
      </c>
      <c r="C32" s="35">
        <v>105.50950000000005</v>
      </c>
      <c r="D32" s="35">
        <v>101.35</v>
      </c>
      <c r="E32" s="38"/>
      <c r="F32" s="640" t="s">
        <v>73</v>
      </c>
      <c r="G32" s="641"/>
      <c r="H32" s="35">
        <v>-0.125</v>
      </c>
      <c r="I32" s="35">
        <v>-0.25</v>
      </c>
      <c r="J32" s="35">
        <v>-0.375</v>
      </c>
      <c r="K32" s="35">
        <v>-0.5</v>
      </c>
      <c r="L32" s="35">
        <v>-0.5</v>
      </c>
      <c r="M32" s="35">
        <v>-0.5</v>
      </c>
      <c r="N32" s="35">
        <v>-1.75</v>
      </c>
      <c r="O32" s="36" t="e">
        <v>#N/A</v>
      </c>
      <c r="P32" s="14"/>
      <c r="Q32" s="627" t="s">
        <v>70</v>
      </c>
      <c r="R32" s="628"/>
      <c r="S32" s="48" t="s">
        <v>68</v>
      </c>
      <c r="T32" s="126">
        <v>0</v>
      </c>
      <c r="U32" s="760"/>
      <c r="V32" s="33"/>
    </row>
    <row r="33" spans="1:26" ht="15.75" customHeight="1" x14ac:dyDescent="0.25">
      <c r="A33" s="14"/>
      <c r="B33" s="34">
        <v>8.75</v>
      </c>
      <c r="C33" s="35">
        <v>105.75950000000005</v>
      </c>
      <c r="D33" s="35">
        <v>101.6</v>
      </c>
      <c r="E33" s="38"/>
      <c r="F33" s="640" t="s">
        <v>76</v>
      </c>
      <c r="G33" s="641"/>
      <c r="H33" s="35">
        <v>-0.25</v>
      </c>
      <c r="I33" s="35">
        <v>-0.25</v>
      </c>
      <c r="J33" s="35">
        <v>-0.25</v>
      </c>
      <c r="K33" s="35">
        <v>-0.25</v>
      </c>
      <c r="L33" s="35">
        <v>-0.25</v>
      </c>
      <c r="M33" s="35">
        <v>-0.25</v>
      </c>
      <c r="N33" s="35">
        <v>-0.375</v>
      </c>
      <c r="O33" s="36" t="e">
        <v>#N/A</v>
      </c>
      <c r="P33" s="14"/>
      <c r="Q33" s="627" t="s">
        <v>72</v>
      </c>
      <c r="R33" s="628"/>
      <c r="S33" s="49" t="str">
        <f>IF(ISNA(T33),"Yes",IF(T33=0,"No",""))</f>
        <v>No</v>
      </c>
      <c r="T33" s="126">
        <f>'Feed(DSCR)'!$B$67</f>
        <v>0</v>
      </c>
      <c r="U33" s="760"/>
      <c r="V33" s="33"/>
    </row>
    <row r="34" spans="1:26" x14ac:dyDescent="0.25">
      <c r="A34" s="14"/>
      <c r="B34" s="34">
        <v>8.875</v>
      </c>
      <c r="C34" s="35">
        <v>106.00950000000005</v>
      </c>
      <c r="D34" s="35">
        <v>101.97499999999999</v>
      </c>
      <c r="E34" s="38"/>
      <c r="F34" s="640" t="s">
        <v>77</v>
      </c>
      <c r="G34" s="641"/>
      <c r="H34" s="35">
        <v>-0.5</v>
      </c>
      <c r="I34" s="35">
        <v>-0.5</v>
      </c>
      <c r="J34" s="35">
        <v>-0.625</v>
      </c>
      <c r="K34" s="35">
        <v>-0.75</v>
      </c>
      <c r="L34" s="35">
        <v>-0.75</v>
      </c>
      <c r="M34" s="35" t="e">
        <v>#N/A</v>
      </c>
      <c r="N34" s="35" t="e">
        <v>#N/A</v>
      </c>
      <c r="O34" s="36" t="e">
        <v>#N/A</v>
      </c>
      <c r="P34" s="14"/>
      <c r="Q34" s="627" t="s">
        <v>771</v>
      </c>
      <c r="R34" s="628"/>
      <c r="S34" s="48" t="s">
        <v>32</v>
      </c>
      <c r="T34" s="126" t="str">
        <f>IF(S34="Tier 1 States",T79,IF(S34="Tier 2 States",T81,IF(S34="Tier 3 States",T83,"0.000")))</f>
        <v>0.000</v>
      </c>
      <c r="U34" s="760"/>
      <c r="V34" s="33"/>
    </row>
    <row r="35" spans="1:26" ht="15.75" customHeight="1" x14ac:dyDescent="0.25">
      <c r="A35" s="14"/>
      <c r="B35" s="34">
        <v>8.9990000000000006</v>
      </c>
      <c r="C35" s="35">
        <v>106.25950000000005</v>
      </c>
      <c r="D35" s="35">
        <v>102.1</v>
      </c>
      <c r="E35" s="38"/>
      <c r="F35" s="746" t="s">
        <v>79</v>
      </c>
      <c r="G35" s="747"/>
      <c r="H35" s="747"/>
      <c r="I35" s="747"/>
      <c r="J35" s="747"/>
      <c r="K35" s="747"/>
      <c r="L35" s="747"/>
      <c r="M35" s="747"/>
      <c r="N35" s="747"/>
      <c r="O35" s="748"/>
      <c r="P35" s="14"/>
      <c r="Q35" s="627" t="str">
        <f>IF('Feed(DSCR)'!Z1=0,"",INDEX('Feed(DSCR)'!$AA$1:$AA$3,MATCH('Feed(DSCR)'!Z1,'Feed(DSCR)'!$Z$1:$Z$3,0)))</f>
        <v xml:space="preserve">Special </v>
      </c>
      <c r="R35" s="628"/>
      <c r="S35" s="49" t="str">
        <f>IF(T35=FALSE,'Feed(DSCR)'!Y4,'Feed(DSCR)'!Y5)</f>
        <v>Not Applicable</v>
      </c>
      <c r="T35" s="126" t="b">
        <f>'Feed(DSCR)'!$Z$1</f>
        <v>0</v>
      </c>
      <c r="U35" s="760"/>
      <c r="V35" s="33"/>
    </row>
    <row r="36" spans="1:26" x14ac:dyDescent="0.25">
      <c r="A36" s="14"/>
      <c r="B36" s="34">
        <v>9.125</v>
      </c>
      <c r="C36" s="35">
        <v>106.50950000000005</v>
      </c>
      <c r="D36" s="35">
        <v>102.47499999999999</v>
      </c>
      <c r="E36" s="38"/>
      <c r="F36" s="640" t="s">
        <v>81</v>
      </c>
      <c r="G36" s="641"/>
      <c r="H36" s="35">
        <v>-0.25</v>
      </c>
      <c r="I36" s="35">
        <v>-0.5</v>
      </c>
      <c r="J36" s="35">
        <v>-0.5</v>
      </c>
      <c r="K36" s="35">
        <v>-0.5</v>
      </c>
      <c r="L36" s="35">
        <v>-0.5</v>
      </c>
      <c r="M36" s="35">
        <v>-0.75</v>
      </c>
      <c r="N36" s="35">
        <v>-0.75</v>
      </c>
      <c r="O36" s="36">
        <v>-1.5</v>
      </c>
      <c r="P36" s="14"/>
      <c r="Q36" s="691" t="s">
        <v>78</v>
      </c>
      <c r="R36" s="692"/>
      <c r="S36" s="693"/>
      <c r="T36" s="469" t="e">
        <f>SUM($T$12:$T$35)</f>
        <v>#N/A</v>
      </c>
      <c r="U36" s="760"/>
      <c r="V36" s="33"/>
    </row>
    <row r="37" spans="1:26" ht="15.75" customHeight="1" x14ac:dyDescent="0.25">
      <c r="A37" s="14"/>
      <c r="B37" s="34">
        <v>9.25</v>
      </c>
      <c r="C37" s="35">
        <v>106.63450000000005</v>
      </c>
      <c r="D37" s="35">
        <v>102.72499999999999</v>
      </c>
      <c r="E37" s="38"/>
      <c r="F37" s="640" t="s">
        <v>83</v>
      </c>
      <c r="G37" s="641"/>
      <c r="H37" s="35">
        <v>0</v>
      </c>
      <c r="I37" s="35">
        <v>0</v>
      </c>
      <c r="J37" s="35">
        <v>0</v>
      </c>
      <c r="K37" s="35">
        <v>0</v>
      </c>
      <c r="L37" s="35">
        <v>0</v>
      </c>
      <c r="M37" s="35">
        <v>0</v>
      </c>
      <c r="N37" s="35">
        <v>0</v>
      </c>
      <c r="O37" s="36">
        <v>-0.25</v>
      </c>
      <c r="P37" s="14"/>
      <c r="Q37" s="691" t="s">
        <v>80</v>
      </c>
      <c r="R37" s="692"/>
      <c r="S37" s="693"/>
      <c r="T37" s="469" t="e">
        <f>IF(AND($S$24='Feed(DSCR)'!$K$10, $S$17='Feed(DSCR)'!$D$3),INDEX($B$11:$D$50, MATCH($S$10,$B$11:$B$50,0), MATCH($S$24,$B$10:$D$10,0)),INDEX($B$11:$D$50, MATCH($S$10,$B$11:$B$50,0), MATCH($S$17,$B$10:$D$10,0)))</f>
        <v>#N/A</v>
      </c>
      <c r="U37" s="760"/>
      <c r="V37" s="33"/>
      <c r="Z37" s="47"/>
    </row>
    <row r="38" spans="1:26" ht="15.75" customHeight="1" x14ac:dyDescent="0.25">
      <c r="A38" s="14"/>
      <c r="B38" s="34">
        <v>9.375</v>
      </c>
      <c r="C38" s="35">
        <v>106.75950000000005</v>
      </c>
      <c r="D38" s="35">
        <v>103.1</v>
      </c>
      <c r="E38" s="38"/>
      <c r="F38" s="640" t="s">
        <v>85</v>
      </c>
      <c r="G38" s="641"/>
      <c r="H38" s="35">
        <v>0.25</v>
      </c>
      <c r="I38" s="35">
        <v>0.25</v>
      </c>
      <c r="J38" s="35">
        <v>0.25</v>
      </c>
      <c r="K38" s="35">
        <v>0.25</v>
      </c>
      <c r="L38" s="35">
        <v>0.25</v>
      </c>
      <c r="M38" s="35">
        <v>0.25</v>
      </c>
      <c r="N38" s="35">
        <v>0.25</v>
      </c>
      <c r="O38" s="36">
        <v>0.25</v>
      </c>
      <c r="P38" s="14"/>
      <c r="Q38" s="691" t="s">
        <v>82</v>
      </c>
      <c r="R38" s="692"/>
      <c r="S38" s="693"/>
      <c r="T38" s="469" t="str">
        <f ca="1">IFERROR(IF(AND(S19='Feed(DSCR)'!$P$6,S10&lt;R70),"Minimum Rate",IF(AND($S$10&lt;&gt;'Feed(DSCR)'!$K$134,T39=R67),NA(),T37+T36+Q85)),"Minimum Rate")</f>
        <v>Minimum Rate</v>
      </c>
      <c r="U38" s="760"/>
      <c r="V38" s="33"/>
    </row>
    <row r="39" spans="1:26" ht="15.75" customHeight="1" x14ac:dyDescent="0.25">
      <c r="A39" s="14"/>
      <c r="B39" s="34">
        <v>9.4990000000000006</v>
      </c>
      <c r="C39" s="35">
        <v>106.88450000000005</v>
      </c>
      <c r="D39" s="35">
        <v>103.47499999999999</v>
      </c>
      <c r="E39" s="38"/>
      <c r="F39" s="640" t="s">
        <v>87</v>
      </c>
      <c r="G39" s="641"/>
      <c r="H39" s="35">
        <v>0.375</v>
      </c>
      <c r="I39" s="35">
        <v>0.25</v>
      </c>
      <c r="J39" s="35">
        <v>0.25</v>
      </c>
      <c r="K39" s="35">
        <v>0.25</v>
      </c>
      <c r="L39" s="35">
        <v>0.25</v>
      </c>
      <c r="M39" s="35">
        <v>0</v>
      </c>
      <c r="N39" s="35">
        <v>0</v>
      </c>
      <c r="O39" s="36">
        <v>0</v>
      </c>
      <c r="P39" s="14"/>
      <c r="Q39" s="691" t="s">
        <v>84</v>
      </c>
      <c r="R39" s="692"/>
      <c r="S39" s="693"/>
      <c r="T39" s="469" t="e">
        <f>IF(OR('Feed(DSCR)'!$E$147=0, ISERROR('Feed(DSCR)'!$E$147)), NA(), 'Feed(DSCR)'!$E$147)</f>
        <v>#N/A</v>
      </c>
      <c r="U39" s="760"/>
      <c r="V39" s="33"/>
    </row>
    <row r="40" spans="1:26" ht="14.25" customHeight="1" x14ac:dyDescent="0.25">
      <c r="A40" s="14"/>
      <c r="B40" s="34">
        <v>9.625</v>
      </c>
      <c r="C40" s="35">
        <v>107.00950000000005</v>
      </c>
      <c r="D40" s="35">
        <v>103.72499999999999</v>
      </c>
      <c r="E40" s="38"/>
      <c r="F40" s="640" t="s">
        <v>88</v>
      </c>
      <c r="G40" s="641"/>
      <c r="H40" s="35">
        <v>0</v>
      </c>
      <c r="I40" s="35">
        <v>0</v>
      </c>
      <c r="J40" s="35">
        <v>0</v>
      </c>
      <c r="K40" s="35">
        <v>0</v>
      </c>
      <c r="L40" s="35">
        <v>0</v>
      </c>
      <c r="M40" s="35">
        <v>0</v>
      </c>
      <c r="N40" s="35">
        <v>0</v>
      </c>
      <c r="O40" s="36">
        <v>0</v>
      </c>
      <c r="P40" s="14"/>
      <c r="Q40" s="694" t="s">
        <v>86</v>
      </c>
      <c r="R40" s="695"/>
      <c r="S40" s="696"/>
      <c r="T40" s="51" t="e">
        <f>IF(OR($T$36="#NA",$T$37="#NA"),NA(),IF(AND($S$10&lt;&gt;'Feed(DSCR)'!$K$134,$T$39=$R$67),NA(),IF($T$38&gt;$T$39,$T$39,$T$38)))</f>
        <v>#N/A</v>
      </c>
      <c r="U40" s="760"/>
      <c r="V40" s="33"/>
    </row>
    <row r="41" spans="1:26" ht="14.25" customHeight="1" x14ac:dyDescent="0.25">
      <c r="A41" s="14"/>
      <c r="B41" s="34">
        <v>9.75</v>
      </c>
      <c r="C41" s="35">
        <v>107.13450000000005</v>
      </c>
      <c r="D41" s="35">
        <v>103.97499999999999</v>
      </c>
      <c r="E41" s="38"/>
      <c r="F41" s="640" t="s">
        <v>90</v>
      </c>
      <c r="G41" s="641"/>
      <c r="H41" s="35">
        <v>-0.125</v>
      </c>
      <c r="I41" s="35">
        <v>-0.125</v>
      </c>
      <c r="J41" s="35">
        <v>-0.125</v>
      </c>
      <c r="K41" s="35">
        <v>-0.25</v>
      </c>
      <c r="L41" s="35">
        <v>-0.25</v>
      </c>
      <c r="M41" s="35">
        <v>-0.25</v>
      </c>
      <c r="N41" s="35">
        <v>-0.5</v>
      </c>
      <c r="O41" s="36" t="e">
        <v>#N/A</v>
      </c>
      <c r="P41" s="14"/>
      <c r="Q41" s="694" t="str" cm="1">
        <f t="array" ref="Q41">IF(OR($S$11:$S$25="Choose a Selection"),"",CONCATENATE('Feed(DSCR)'!$I$134," ",'Feed(DSCR)'!$K$134,"%"&amp;" @ "&amp;'Feed(DSCR)'!$L$134))</f>
        <v/>
      </c>
      <c r="R41" s="695"/>
      <c r="S41" s="695"/>
      <c r="T41" s="749"/>
      <c r="U41" s="760"/>
      <c r="V41" s="33"/>
    </row>
    <row r="42" spans="1:26" ht="15.75" customHeight="1" thickBot="1" x14ac:dyDescent="0.3">
      <c r="A42" s="14"/>
      <c r="B42" s="34">
        <v>9.875</v>
      </c>
      <c r="C42" s="35">
        <v>107.25950000000005</v>
      </c>
      <c r="D42" s="35">
        <v>104.22499999999999</v>
      </c>
      <c r="E42" s="38"/>
      <c r="F42" s="640" t="s">
        <v>91</v>
      </c>
      <c r="G42" s="641"/>
      <c r="H42" s="35">
        <v>-0.375</v>
      </c>
      <c r="I42" s="35">
        <v>-0.375</v>
      </c>
      <c r="J42" s="35">
        <v>-0.5</v>
      </c>
      <c r="K42" s="35">
        <v>-0.5</v>
      </c>
      <c r="L42" s="35">
        <v>-0.5</v>
      </c>
      <c r="M42" s="35">
        <v>-0.5</v>
      </c>
      <c r="N42" s="35">
        <v>-0.75</v>
      </c>
      <c r="O42" s="36" t="e">
        <v>#N/A</v>
      </c>
      <c r="P42" s="14"/>
      <c r="Q42" s="750" t="s">
        <v>761</v>
      </c>
      <c r="R42" s="751"/>
      <c r="S42" s="751"/>
      <c r="T42" s="752"/>
      <c r="U42" s="760"/>
      <c r="V42" s="33"/>
    </row>
    <row r="43" spans="1:26" ht="14.25" customHeight="1" thickBot="1" x14ac:dyDescent="0.3">
      <c r="A43" s="14"/>
      <c r="B43" s="34">
        <v>9.9990000000000006</v>
      </c>
      <c r="C43" s="35">
        <v>107.38450000000005</v>
      </c>
      <c r="D43" s="35">
        <v>104.47499999999999</v>
      </c>
      <c r="E43" s="38"/>
      <c r="F43" s="640" t="s">
        <v>92</v>
      </c>
      <c r="G43" s="641"/>
      <c r="H43" s="35">
        <v>-1</v>
      </c>
      <c r="I43" s="35">
        <v>-1</v>
      </c>
      <c r="J43" s="35">
        <v>-1</v>
      </c>
      <c r="K43" s="35">
        <v>-1</v>
      </c>
      <c r="L43" s="35">
        <v>-1.25</v>
      </c>
      <c r="M43" s="35">
        <v>-1.5</v>
      </c>
      <c r="N43" s="35" t="e">
        <v>#N/A</v>
      </c>
      <c r="O43" s="36" t="e">
        <v>#N/A</v>
      </c>
      <c r="P43" s="14"/>
      <c r="Q43" s="633" t="s">
        <v>762</v>
      </c>
      <c r="R43" s="634"/>
      <c r="S43" s="668">
        <v>500000</v>
      </c>
      <c r="T43" s="669"/>
      <c r="U43" s="760"/>
      <c r="V43" s="33"/>
    </row>
    <row r="44" spans="1:26" ht="15.75" customHeight="1" thickBot="1" x14ac:dyDescent="0.3">
      <c r="A44" s="14"/>
      <c r="B44" s="34">
        <v>10.125</v>
      </c>
      <c r="C44" s="35">
        <v>107.50950000000005</v>
      </c>
      <c r="D44" s="35">
        <v>104.72499999999999</v>
      </c>
      <c r="E44" s="38"/>
      <c r="F44" s="640" t="s">
        <v>93</v>
      </c>
      <c r="G44" s="641"/>
      <c r="H44" s="35">
        <v>-2</v>
      </c>
      <c r="I44" s="35">
        <v>-2.25</v>
      </c>
      <c r="J44" s="35">
        <v>-2.5</v>
      </c>
      <c r="K44" s="35">
        <v>-3</v>
      </c>
      <c r="L44" s="35" t="e">
        <v>#N/A</v>
      </c>
      <c r="M44" s="35" t="e">
        <v>#N/A</v>
      </c>
      <c r="N44" s="35" t="e">
        <v>#N/A</v>
      </c>
      <c r="O44" s="36" t="e">
        <v>#N/A</v>
      </c>
      <c r="P44" s="14"/>
      <c r="Q44" s="633" t="s">
        <v>763</v>
      </c>
      <c r="R44" s="634"/>
      <c r="S44" s="483">
        <v>2.25</v>
      </c>
      <c r="T44" s="484">
        <f>S44/100*S43</f>
        <v>11250</v>
      </c>
      <c r="U44" s="760"/>
      <c r="V44" s="33"/>
    </row>
    <row r="45" spans="1:26" ht="14.25" customHeight="1" thickBot="1" x14ac:dyDescent="0.3">
      <c r="A45" s="14"/>
      <c r="B45" s="34">
        <v>10.25</v>
      </c>
      <c r="C45" s="35">
        <v>107.63450000000005</v>
      </c>
      <c r="D45" s="35">
        <v>104.97499999999999</v>
      </c>
      <c r="E45" s="38"/>
      <c r="F45" s="746" t="s">
        <v>186</v>
      </c>
      <c r="G45" s="747"/>
      <c r="H45" s="747"/>
      <c r="I45" s="747"/>
      <c r="J45" s="747"/>
      <c r="K45" s="747"/>
      <c r="L45" s="747"/>
      <c r="M45" s="747"/>
      <c r="N45" s="747"/>
      <c r="O45" s="748"/>
      <c r="P45" s="14"/>
      <c r="Q45" s="633" t="s">
        <v>764</v>
      </c>
      <c r="R45" s="634"/>
      <c r="S45" s="482"/>
      <c r="T45" s="485">
        <f>S45/S43*100</f>
        <v>0</v>
      </c>
      <c r="U45" s="760"/>
      <c r="V45" s="33"/>
    </row>
    <row r="46" spans="1:26" ht="14.25" customHeight="1" thickBot="1" x14ac:dyDescent="0.3">
      <c r="A46" s="14"/>
      <c r="B46" s="34">
        <v>10.375</v>
      </c>
      <c r="C46" s="35">
        <v>107.75950000000005</v>
      </c>
      <c r="D46" s="35">
        <v>105.22499999999999</v>
      </c>
      <c r="E46" s="38"/>
      <c r="F46" s="640" t="s">
        <v>99</v>
      </c>
      <c r="G46" s="641"/>
      <c r="H46" s="35">
        <v>-1</v>
      </c>
      <c r="I46" s="35">
        <v>-1</v>
      </c>
      <c r="J46" s="35">
        <v>-1</v>
      </c>
      <c r="K46" s="35">
        <v>-1</v>
      </c>
      <c r="L46" s="35">
        <v>-1</v>
      </c>
      <c r="M46" s="35">
        <v>-1.5</v>
      </c>
      <c r="N46" s="35" t="e">
        <v>#N/A</v>
      </c>
      <c r="O46" s="36" t="e">
        <v>#N/A</v>
      </c>
      <c r="P46" s="14"/>
      <c r="Q46" s="633" t="s">
        <v>765</v>
      </c>
      <c r="R46" s="634"/>
      <c r="S46" s="617">
        <f>S44+T45</f>
        <v>2.25</v>
      </c>
      <c r="T46" s="618"/>
      <c r="U46" s="760"/>
      <c r="V46" s="33"/>
    </row>
    <row r="47" spans="1:26" ht="14.25" customHeight="1" thickBot="1" x14ac:dyDescent="0.3">
      <c r="A47" s="14"/>
      <c r="B47" s="34">
        <v>10.499000000000001</v>
      </c>
      <c r="C47" s="35">
        <v>107.88450000000005</v>
      </c>
      <c r="D47" s="35">
        <v>105.47499999999999</v>
      </c>
      <c r="E47" s="38"/>
      <c r="F47" s="640" t="s">
        <v>187</v>
      </c>
      <c r="G47" s="641"/>
      <c r="H47" s="35">
        <v>-0.5</v>
      </c>
      <c r="I47" s="35">
        <v>-0.5</v>
      </c>
      <c r="J47" s="35">
        <v>-0.5</v>
      </c>
      <c r="K47" s="35">
        <v>-0.5</v>
      </c>
      <c r="L47" s="35">
        <v>-0.5</v>
      </c>
      <c r="M47" s="35">
        <v>-0.625</v>
      </c>
      <c r="N47" s="35">
        <v>-0.75</v>
      </c>
      <c r="O47" s="36" t="e">
        <v>#N/A</v>
      </c>
      <c r="P47" s="14"/>
      <c r="Q47" s="700" t="s">
        <v>766</v>
      </c>
      <c r="R47" s="701"/>
      <c r="S47" s="702" t="e">
        <f>T40-S46</f>
        <v>#N/A</v>
      </c>
      <c r="T47" s="703"/>
      <c r="U47" s="760"/>
      <c r="V47" s="33"/>
    </row>
    <row r="48" spans="1:26" ht="15.75" customHeight="1" x14ac:dyDescent="0.25">
      <c r="A48" s="14"/>
      <c r="B48" s="34">
        <v>10.625</v>
      </c>
      <c r="C48" s="35">
        <v>108.00950000000005</v>
      </c>
      <c r="D48" s="35">
        <v>105.72499999999999</v>
      </c>
      <c r="E48" s="38"/>
      <c r="F48" s="640" t="s">
        <v>100</v>
      </c>
      <c r="G48" s="641"/>
      <c r="H48" s="35">
        <v>0</v>
      </c>
      <c r="I48" s="35">
        <v>0</v>
      </c>
      <c r="J48" s="35">
        <v>0</v>
      </c>
      <c r="K48" s="35">
        <v>0</v>
      </c>
      <c r="L48" s="35">
        <v>0</v>
      </c>
      <c r="M48" s="35">
        <v>0</v>
      </c>
      <c r="N48" s="35">
        <v>0</v>
      </c>
      <c r="O48" s="36" t="e">
        <v>#N/A</v>
      </c>
      <c r="P48" s="14"/>
      <c r="Q48" s="761" t="s">
        <v>937</v>
      </c>
      <c r="R48" s="761"/>
      <c r="S48" s="761"/>
      <c r="T48" s="762"/>
      <c r="U48" s="128"/>
      <c r="V48" s="33"/>
    </row>
    <row r="49" spans="1:22" ht="15.75" customHeight="1" x14ac:dyDescent="0.25">
      <c r="A49" s="14"/>
      <c r="B49" s="34"/>
      <c r="C49" s="34"/>
      <c r="D49" s="34"/>
      <c r="E49" s="38"/>
      <c r="F49" s="640" t="s">
        <v>101</v>
      </c>
      <c r="G49" s="641"/>
      <c r="H49" s="35">
        <v>-0.25</v>
      </c>
      <c r="I49" s="35">
        <v>-0.25</v>
      </c>
      <c r="J49" s="35">
        <v>-0.25</v>
      </c>
      <c r="K49" s="35">
        <v>-0.25</v>
      </c>
      <c r="L49" s="35">
        <v>-0.25</v>
      </c>
      <c r="M49" s="35">
        <v>-0.25</v>
      </c>
      <c r="N49" s="35">
        <v>-0.25</v>
      </c>
      <c r="O49" s="36" t="e">
        <v>#N/A</v>
      </c>
      <c r="P49" s="14"/>
      <c r="Q49" s="761"/>
      <c r="R49" s="761"/>
      <c r="S49" s="761"/>
      <c r="T49" s="762"/>
      <c r="U49" s="54"/>
      <c r="V49" s="33"/>
    </row>
    <row r="50" spans="1:22" x14ac:dyDescent="0.25">
      <c r="A50" s="14"/>
      <c r="B50" s="34"/>
      <c r="C50" s="34"/>
      <c r="D50" s="34"/>
      <c r="E50" s="38"/>
      <c r="F50" s="746" t="s">
        <v>59</v>
      </c>
      <c r="G50" s="747"/>
      <c r="H50" s="747"/>
      <c r="I50" s="747"/>
      <c r="J50" s="747"/>
      <c r="K50" s="747"/>
      <c r="L50" s="747"/>
      <c r="M50" s="747"/>
      <c r="N50" s="747"/>
      <c r="O50" s="748"/>
      <c r="P50" s="14"/>
      <c r="Q50" s="761"/>
      <c r="R50" s="761"/>
      <c r="S50" s="761"/>
      <c r="T50" s="762"/>
      <c r="U50" s="14"/>
      <c r="V50" s="33"/>
    </row>
    <row r="51" spans="1:22" ht="13.5" customHeight="1" x14ac:dyDescent="0.25">
      <c r="A51" s="14"/>
      <c r="B51" s="55"/>
      <c r="C51" s="55"/>
      <c r="D51" s="55"/>
      <c r="E51" s="14"/>
      <c r="F51" s="640" t="s">
        <v>103</v>
      </c>
      <c r="G51" s="641"/>
      <c r="H51" s="129">
        <v>-1</v>
      </c>
      <c r="I51" s="129">
        <v>-1</v>
      </c>
      <c r="J51" s="129">
        <v>-1</v>
      </c>
      <c r="K51" s="129">
        <v>-1</v>
      </c>
      <c r="L51" s="129">
        <v>-1</v>
      </c>
      <c r="M51" s="129">
        <v>-1</v>
      </c>
      <c r="N51" s="129">
        <v>-1</v>
      </c>
      <c r="O51" s="130" t="e">
        <v>#N/A</v>
      </c>
      <c r="P51" s="54"/>
      <c r="Q51" s="761" t="s">
        <v>95</v>
      </c>
      <c r="R51" s="761"/>
      <c r="S51" s="761"/>
      <c r="T51" s="762"/>
      <c r="U51" s="14"/>
    </row>
    <row r="52" spans="1:22" ht="15.75" customHeight="1" x14ac:dyDescent="0.25">
      <c r="A52" s="14"/>
      <c r="B52" s="57"/>
      <c r="C52" s="57"/>
      <c r="D52" s="57"/>
      <c r="E52" s="14"/>
      <c r="F52" s="640" t="s">
        <v>108</v>
      </c>
      <c r="G52" s="641"/>
      <c r="H52" s="129">
        <v>-1.75</v>
      </c>
      <c r="I52" s="129">
        <v>-1.75</v>
      </c>
      <c r="J52" s="129">
        <v>-1.75</v>
      </c>
      <c r="K52" s="129">
        <v>-1.75</v>
      </c>
      <c r="L52" s="129">
        <v>-1.75</v>
      </c>
      <c r="M52" s="129">
        <v>-1.75</v>
      </c>
      <c r="N52" s="129">
        <v>-1.75</v>
      </c>
      <c r="O52" s="130" t="e">
        <v>#N/A</v>
      </c>
      <c r="P52" s="14"/>
      <c r="Q52" s="761"/>
      <c r="R52" s="761"/>
      <c r="S52" s="761"/>
      <c r="T52" s="762"/>
      <c r="U52" s="14"/>
    </row>
    <row r="53" spans="1:22" x14ac:dyDescent="0.25">
      <c r="A53" s="14"/>
      <c r="B53" s="131"/>
      <c r="C53" s="131"/>
      <c r="D53" s="131"/>
      <c r="E53" s="58"/>
      <c r="F53" s="640" t="s">
        <v>113</v>
      </c>
      <c r="G53" s="641"/>
      <c r="H53" s="129">
        <v>-1</v>
      </c>
      <c r="I53" s="129">
        <v>-1</v>
      </c>
      <c r="J53" s="129">
        <v>-1</v>
      </c>
      <c r="K53" s="129">
        <v>-1</v>
      </c>
      <c r="L53" s="129">
        <v>-1</v>
      </c>
      <c r="M53" s="129">
        <v>-1</v>
      </c>
      <c r="N53" s="129">
        <v>-1</v>
      </c>
      <c r="O53" s="130">
        <v>-1</v>
      </c>
      <c r="P53" s="14"/>
      <c r="Q53" s="132"/>
      <c r="R53" s="132"/>
      <c r="S53" s="132"/>
      <c r="T53" s="132"/>
      <c r="U53" s="14"/>
    </row>
    <row r="54" spans="1:22" ht="15.75" customHeight="1" x14ac:dyDescent="0.25">
      <c r="A54" s="14"/>
      <c r="B54" s="133"/>
      <c r="C54" s="133"/>
      <c r="D54" s="133"/>
      <c r="E54" s="59"/>
      <c r="F54" s="640" t="s">
        <v>117</v>
      </c>
      <c r="G54" s="641"/>
      <c r="H54" s="129">
        <v>-0.25</v>
      </c>
      <c r="I54" s="129">
        <v>-0.25</v>
      </c>
      <c r="J54" s="129">
        <v>-0.25</v>
      </c>
      <c r="K54" s="129">
        <v>-0.25</v>
      </c>
      <c r="L54" s="129">
        <v>-0.25</v>
      </c>
      <c r="M54" s="129">
        <v>-0.75</v>
      </c>
      <c r="N54" s="129">
        <v>-0.75</v>
      </c>
      <c r="O54" s="130">
        <v>-0.75</v>
      </c>
      <c r="P54" s="14"/>
      <c r="Q54" s="132"/>
      <c r="R54" s="132"/>
      <c r="S54" s="132"/>
      <c r="T54" s="132"/>
      <c r="U54" s="14"/>
    </row>
    <row r="55" spans="1:22" ht="15.75" customHeight="1" x14ac:dyDescent="0.25">
      <c r="A55" s="14"/>
      <c r="B55" s="759" t="s">
        <v>65</v>
      </c>
      <c r="C55" s="759"/>
      <c r="D55" s="77" t="s">
        <v>102</v>
      </c>
      <c r="E55" s="59"/>
      <c r="F55" s="640" t="s">
        <v>122</v>
      </c>
      <c r="G55" s="641"/>
      <c r="H55" s="129">
        <v>0.25</v>
      </c>
      <c r="I55" s="129">
        <v>0.125</v>
      </c>
      <c r="J55" s="129">
        <v>0.125</v>
      </c>
      <c r="K55" s="129">
        <v>0.125</v>
      </c>
      <c r="L55" s="129">
        <v>0.125</v>
      </c>
      <c r="M55" s="129">
        <v>0.125</v>
      </c>
      <c r="N55" s="129">
        <v>0.125</v>
      </c>
      <c r="O55" s="129">
        <v>6.25E-2</v>
      </c>
      <c r="P55" s="14"/>
      <c r="Q55" s="745" t="s">
        <v>104</v>
      </c>
      <c r="R55" s="690"/>
      <c r="S55" s="77" t="s">
        <v>63</v>
      </c>
      <c r="T55" s="77" t="s">
        <v>102</v>
      </c>
      <c r="U55" s="14"/>
    </row>
    <row r="56" spans="1:22" ht="15.75" customHeight="1" x14ac:dyDescent="0.25">
      <c r="A56" s="14"/>
      <c r="B56" s="758" t="s">
        <v>107</v>
      </c>
      <c r="C56" s="758"/>
      <c r="D56" s="134">
        <v>-0.25</v>
      </c>
      <c r="E56" s="63"/>
      <c r="F56" s="640" t="s">
        <v>126</v>
      </c>
      <c r="G56" s="641"/>
      <c r="H56" s="129">
        <v>0.375</v>
      </c>
      <c r="I56" s="129">
        <v>0.25</v>
      </c>
      <c r="J56" s="129">
        <v>0.25</v>
      </c>
      <c r="K56" s="129">
        <v>0.25</v>
      </c>
      <c r="L56" s="129">
        <v>0.25</v>
      </c>
      <c r="M56" s="129">
        <v>0.25</v>
      </c>
      <c r="N56" s="129">
        <v>0.25</v>
      </c>
      <c r="O56" s="129">
        <v>0.125</v>
      </c>
      <c r="P56" s="14"/>
      <c r="Q56" s="135" t="s">
        <v>893</v>
      </c>
      <c r="R56" s="84">
        <v>102.5</v>
      </c>
      <c r="S56" s="136" t="s">
        <v>188</v>
      </c>
      <c r="T56" s="137">
        <v>-0.25</v>
      </c>
      <c r="U56" s="14"/>
    </row>
    <row r="57" spans="1:22" ht="15.75" customHeight="1" x14ac:dyDescent="0.25">
      <c r="A57" s="14"/>
      <c r="B57" s="758" t="s">
        <v>112</v>
      </c>
      <c r="C57" s="758"/>
      <c r="D57" s="134">
        <v>-0.5</v>
      </c>
      <c r="E57" s="69"/>
      <c r="F57" s="640" t="s">
        <v>130</v>
      </c>
      <c r="G57" s="641"/>
      <c r="H57" s="129">
        <v>0.75</v>
      </c>
      <c r="I57" s="129">
        <v>0.625</v>
      </c>
      <c r="J57" s="129">
        <v>0.625</v>
      </c>
      <c r="K57" s="129">
        <v>0.625</v>
      </c>
      <c r="L57" s="129">
        <v>0.625</v>
      </c>
      <c r="M57" s="129">
        <v>0.625</v>
      </c>
      <c r="N57" s="129">
        <v>0.625</v>
      </c>
      <c r="O57" s="129">
        <v>0.5</v>
      </c>
      <c r="P57" s="14"/>
      <c r="Q57" s="135" t="s">
        <v>90</v>
      </c>
      <c r="R57" s="138">
        <v>100.75</v>
      </c>
      <c r="S57" s="136" t="s">
        <v>189</v>
      </c>
      <c r="T57" s="139">
        <v>-0.25</v>
      </c>
      <c r="U57" s="14"/>
    </row>
    <row r="58" spans="1:22" x14ac:dyDescent="0.25">
      <c r="A58" s="14"/>
      <c r="B58" s="739" t="s">
        <v>116</v>
      </c>
      <c r="C58" s="740"/>
      <c r="D58" s="740"/>
      <c r="E58" s="72"/>
      <c r="F58" s="640" t="s">
        <v>132</v>
      </c>
      <c r="G58" s="641"/>
      <c r="H58" s="129">
        <v>-0.75</v>
      </c>
      <c r="I58" s="129">
        <v>-0.75</v>
      </c>
      <c r="J58" s="129">
        <v>-0.75</v>
      </c>
      <c r="K58" s="129">
        <v>-0.75</v>
      </c>
      <c r="L58" s="129">
        <v>-0.75</v>
      </c>
      <c r="M58" s="129">
        <v>-0.75</v>
      </c>
      <c r="N58" s="129">
        <v>-0.75</v>
      </c>
      <c r="O58" s="130">
        <v>-0.75</v>
      </c>
      <c r="P58" s="54"/>
      <c r="Q58" s="135" t="s">
        <v>91</v>
      </c>
      <c r="R58" s="138">
        <v>100.5</v>
      </c>
      <c r="S58" s="136" t="s">
        <v>190</v>
      </c>
      <c r="T58" s="139">
        <v>-0.25</v>
      </c>
      <c r="U58" s="14"/>
      <c r="V58" s="3"/>
    </row>
    <row r="59" spans="1:22" ht="15.75" customHeight="1" x14ac:dyDescent="0.25">
      <c r="A59" s="14"/>
      <c r="B59" s="756" t="s">
        <v>191</v>
      </c>
      <c r="C59" s="757"/>
      <c r="D59" s="757"/>
      <c r="E59" s="64"/>
      <c r="F59" s="640" t="s">
        <v>134</v>
      </c>
      <c r="G59" s="641"/>
      <c r="H59" s="129">
        <v>0</v>
      </c>
      <c r="I59" s="129">
        <v>0</v>
      </c>
      <c r="J59" s="129">
        <v>0</v>
      </c>
      <c r="K59" s="129">
        <v>0</v>
      </c>
      <c r="L59" s="129">
        <v>0</v>
      </c>
      <c r="M59" s="129">
        <v>0</v>
      </c>
      <c r="N59" s="129">
        <v>0</v>
      </c>
      <c r="O59" s="130">
        <v>-0.25</v>
      </c>
      <c r="P59" s="54"/>
      <c r="Q59" s="135" t="s">
        <v>118</v>
      </c>
      <c r="R59" s="138">
        <v>101</v>
      </c>
      <c r="S59" s="136" t="s">
        <v>192</v>
      </c>
      <c r="T59" s="139">
        <v>-0.25</v>
      </c>
      <c r="U59" s="14"/>
      <c r="V59" s="3"/>
    </row>
    <row r="60" spans="1:22" x14ac:dyDescent="0.25">
      <c r="A60" s="14"/>
      <c r="B60" s="756"/>
      <c r="C60" s="757"/>
      <c r="D60" s="757"/>
      <c r="E60" s="64"/>
      <c r="F60" s="640" t="s">
        <v>137</v>
      </c>
      <c r="G60" s="641"/>
      <c r="H60" s="129">
        <v>0.375</v>
      </c>
      <c r="I60" s="129">
        <v>0.375</v>
      </c>
      <c r="J60" s="129">
        <v>0.375</v>
      </c>
      <c r="K60" s="129">
        <v>0.375</v>
      </c>
      <c r="L60" s="129">
        <v>0.375</v>
      </c>
      <c r="M60" s="129">
        <v>0.375</v>
      </c>
      <c r="N60" s="129">
        <v>0.375</v>
      </c>
      <c r="O60" s="130">
        <v>0.375</v>
      </c>
      <c r="P60" s="14"/>
      <c r="Q60" s="135" t="s">
        <v>123</v>
      </c>
      <c r="R60" s="138">
        <v>100.5</v>
      </c>
      <c r="S60" s="136" t="s">
        <v>193</v>
      </c>
      <c r="T60" s="139">
        <v>-0.25</v>
      </c>
      <c r="U60" s="14"/>
      <c r="V60" s="3"/>
    </row>
    <row r="61" spans="1:22" ht="15.75" customHeight="1" x14ac:dyDescent="0.25">
      <c r="A61" s="14"/>
      <c r="B61" s="756"/>
      <c r="C61" s="757"/>
      <c r="D61" s="757"/>
      <c r="E61" s="74"/>
      <c r="F61" s="640" t="s">
        <v>139</v>
      </c>
      <c r="G61" s="641"/>
      <c r="H61" s="129">
        <v>0.625</v>
      </c>
      <c r="I61" s="129">
        <v>0.42499999999999999</v>
      </c>
      <c r="J61" s="129">
        <v>0.42499999999999999</v>
      </c>
      <c r="K61" s="129">
        <v>0.42499999999999999</v>
      </c>
      <c r="L61" s="129">
        <v>0.42499999999999999</v>
      </c>
      <c r="M61" s="129">
        <v>0.42499999999999999</v>
      </c>
      <c r="N61" s="129">
        <v>0.42499999999999999</v>
      </c>
      <c r="O61" s="130">
        <v>0.42499999999999999</v>
      </c>
      <c r="P61" s="14"/>
      <c r="Q61" s="135" t="s">
        <v>127</v>
      </c>
      <c r="R61" s="138">
        <v>100</v>
      </c>
      <c r="S61" s="136" t="s">
        <v>194</v>
      </c>
      <c r="T61" s="139">
        <v>-0.25</v>
      </c>
      <c r="U61" s="14"/>
      <c r="V61" s="3"/>
    </row>
    <row r="62" spans="1:22" ht="15.75" customHeight="1" x14ac:dyDescent="0.25">
      <c r="A62" s="14"/>
      <c r="B62" s="756"/>
      <c r="C62" s="757"/>
      <c r="D62" s="757"/>
      <c r="E62" s="70"/>
      <c r="F62" s="640" t="s">
        <v>142</v>
      </c>
      <c r="G62" s="641"/>
      <c r="H62" s="129">
        <v>1</v>
      </c>
      <c r="I62" s="129">
        <v>0.75</v>
      </c>
      <c r="J62" s="129">
        <v>0.75</v>
      </c>
      <c r="K62" s="129">
        <v>0.75</v>
      </c>
      <c r="L62" s="129">
        <v>0.75</v>
      </c>
      <c r="M62" s="129">
        <v>0.75</v>
      </c>
      <c r="N62" s="129">
        <v>0.75</v>
      </c>
      <c r="O62" s="130">
        <v>0.75</v>
      </c>
      <c r="P62" s="54"/>
      <c r="Q62" s="135" t="s">
        <v>131</v>
      </c>
      <c r="R62" s="138">
        <v>100</v>
      </c>
      <c r="S62" s="77" t="s">
        <v>105</v>
      </c>
      <c r="T62" s="77" t="s">
        <v>102</v>
      </c>
      <c r="U62" s="14"/>
      <c r="V62" s="3"/>
    </row>
    <row r="63" spans="1:22" ht="15.75" customHeight="1" x14ac:dyDescent="0.25">
      <c r="A63" s="14"/>
      <c r="B63" s="756"/>
      <c r="C63" s="757"/>
      <c r="D63" s="757"/>
      <c r="E63" s="70"/>
      <c r="F63" s="746" t="s">
        <v>144</v>
      </c>
      <c r="G63" s="747"/>
      <c r="H63" s="747"/>
      <c r="I63" s="747"/>
      <c r="J63" s="747"/>
      <c r="K63" s="747"/>
      <c r="L63" s="747"/>
      <c r="M63" s="747"/>
      <c r="N63" s="747"/>
      <c r="O63" s="748"/>
      <c r="P63" s="54"/>
      <c r="Q63" s="135" t="s">
        <v>133</v>
      </c>
      <c r="R63" s="138">
        <v>101.5</v>
      </c>
      <c r="S63" s="80" t="s">
        <v>136</v>
      </c>
      <c r="T63" s="140">
        <v>0.25</v>
      </c>
      <c r="U63" s="14"/>
      <c r="V63" s="3"/>
    </row>
    <row r="64" spans="1:22" ht="15.75" customHeight="1" x14ac:dyDescent="0.25">
      <c r="A64" s="14"/>
      <c r="B64" s="756"/>
      <c r="C64" s="757"/>
      <c r="D64" s="757"/>
      <c r="E64" s="64"/>
      <c r="F64" s="640" t="s">
        <v>146</v>
      </c>
      <c r="G64" s="641"/>
      <c r="H64" s="35">
        <v>-0.375</v>
      </c>
      <c r="I64" s="35">
        <v>-0.375</v>
      </c>
      <c r="J64" s="35">
        <v>-0.375</v>
      </c>
      <c r="K64" s="35">
        <v>-0.375</v>
      </c>
      <c r="L64" s="35">
        <v>-0.5</v>
      </c>
      <c r="M64" s="35">
        <v>-0.5</v>
      </c>
      <c r="N64" s="35">
        <v>-0.5</v>
      </c>
      <c r="O64" s="36" t="e">
        <v>#N/A</v>
      </c>
      <c r="P64" s="54"/>
      <c r="Q64" s="135" t="s">
        <v>892</v>
      </c>
      <c r="R64" s="138">
        <v>102</v>
      </c>
      <c r="S64" s="80" t="s">
        <v>54</v>
      </c>
      <c r="T64" s="140">
        <v>0</v>
      </c>
      <c r="U64" s="14"/>
      <c r="V64" s="3"/>
    </row>
    <row r="65" spans="1:35" ht="15.75" customHeight="1" x14ac:dyDescent="0.25">
      <c r="A65" s="14"/>
      <c r="B65" s="756"/>
      <c r="C65" s="757"/>
      <c r="D65" s="757"/>
      <c r="E65" s="64"/>
      <c r="F65" s="640" t="s">
        <v>197</v>
      </c>
      <c r="G65" s="641"/>
      <c r="H65" s="35">
        <v>-0.5</v>
      </c>
      <c r="I65" s="35">
        <v>-0.5</v>
      </c>
      <c r="J65" s="35">
        <v>-0.5</v>
      </c>
      <c r="K65" s="35">
        <v>-0.5</v>
      </c>
      <c r="L65" s="35">
        <v>-0.75</v>
      </c>
      <c r="M65" s="35">
        <v>-0.75</v>
      </c>
      <c r="N65" s="35">
        <v>-0.75</v>
      </c>
      <c r="O65" s="36" t="e">
        <v>#N/A</v>
      </c>
      <c r="P65" s="14"/>
      <c r="Q65" s="135" t="s">
        <v>195</v>
      </c>
      <c r="R65" s="138">
        <v>100</v>
      </c>
      <c r="S65" s="80" t="s">
        <v>141</v>
      </c>
      <c r="T65" s="140">
        <v>-0.5</v>
      </c>
      <c r="U65" s="14"/>
      <c r="V65" s="3"/>
    </row>
    <row r="66" spans="1:35" ht="15.75" customHeight="1" x14ac:dyDescent="0.25">
      <c r="A66" s="14"/>
      <c r="B66" s="756"/>
      <c r="C66" s="757"/>
      <c r="D66" s="757"/>
      <c r="E66" s="85"/>
      <c r="F66" s="640" t="s">
        <v>152</v>
      </c>
      <c r="G66" s="641"/>
      <c r="H66" s="35">
        <v>0</v>
      </c>
      <c r="I66" s="35">
        <v>0</v>
      </c>
      <c r="J66" s="35">
        <v>0</v>
      </c>
      <c r="K66" s="35">
        <v>0</v>
      </c>
      <c r="L66" s="35">
        <v>0</v>
      </c>
      <c r="M66" s="35">
        <v>0</v>
      </c>
      <c r="N66" s="35">
        <v>0</v>
      </c>
      <c r="O66" s="36" t="e">
        <v>#N/A</v>
      </c>
      <c r="P66" s="14"/>
      <c r="Q66" s="135" t="s">
        <v>196</v>
      </c>
      <c r="R66" s="138">
        <v>100</v>
      </c>
      <c r="S66" s="86" t="s">
        <v>143</v>
      </c>
      <c r="T66" s="140">
        <v>0.25</v>
      </c>
      <c r="U66" s="14"/>
      <c r="V66" s="3"/>
    </row>
    <row r="67" spans="1:35" ht="15.75" customHeight="1" x14ac:dyDescent="0.25">
      <c r="A67" s="14"/>
      <c r="B67" s="756"/>
      <c r="C67" s="757"/>
      <c r="D67" s="757"/>
      <c r="E67" s="87"/>
      <c r="F67" s="640" t="s">
        <v>158</v>
      </c>
      <c r="G67" s="641"/>
      <c r="H67" s="35">
        <v>-2</v>
      </c>
      <c r="I67" s="35">
        <v>-2</v>
      </c>
      <c r="J67" s="35">
        <v>-2</v>
      </c>
      <c r="K67" s="35">
        <v>-2</v>
      </c>
      <c r="L67" s="35">
        <v>-2</v>
      </c>
      <c r="M67" s="35">
        <v>-2.5</v>
      </c>
      <c r="N67" s="35" t="e">
        <v>#N/A</v>
      </c>
      <c r="O67" s="36" t="e">
        <v>#N/A</v>
      </c>
      <c r="P67" s="14"/>
      <c r="Q67" s="135"/>
      <c r="R67" s="514">
        <v>0</v>
      </c>
      <c r="S67" s="80" t="s">
        <v>145</v>
      </c>
      <c r="T67" s="140">
        <v>-0.5</v>
      </c>
      <c r="U67" s="14"/>
      <c r="V67" s="3"/>
    </row>
    <row r="68" spans="1:35" x14ac:dyDescent="0.25">
      <c r="A68" s="14"/>
      <c r="B68" s="756"/>
      <c r="C68" s="757"/>
      <c r="D68" s="757"/>
      <c r="E68" s="64"/>
      <c r="F68" s="640" t="s">
        <v>205</v>
      </c>
      <c r="G68" s="641"/>
      <c r="H68" s="35">
        <v>-1.5</v>
      </c>
      <c r="I68" s="35">
        <v>-1.5</v>
      </c>
      <c r="J68" s="35">
        <v>-1.5</v>
      </c>
      <c r="K68" s="35">
        <v>-1.5</v>
      </c>
      <c r="L68" s="35">
        <v>-1.5</v>
      </c>
      <c r="M68" s="35">
        <v>-1.75</v>
      </c>
      <c r="N68" s="35" t="e">
        <v>#N/A</v>
      </c>
      <c r="O68" s="36" t="e">
        <v>#N/A</v>
      </c>
      <c r="P68" s="14"/>
      <c r="Q68" s="745" t="s">
        <v>140</v>
      </c>
      <c r="R68" s="690"/>
      <c r="S68" s="80" t="s">
        <v>148</v>
      </c>
      <c r="T68" s="140">
        <v>0.25</v>
      </c>
      <c r="U68" s="14"/>
      <c r="V68" s="3"/>
      <c r="W68" s="3"/>
      <c r="X68" s="3"/>
      <c r="Y68" s="3"/>
      <c r="Z68" s="3"/>
      <c r="AA68" s="3"/>
      <c r="AB68" s="3"/>
      <c r="AC68" s="3"/>
      <c r="AD68" s="3"/>
      <c r="AE68" s="3"/>
      <c r="AF68" s="3"/>
      <c r="AG68" s="3"/>
      <c r="AH68" s="3"/>
      <c r="AI68" s="3"/>
    </row>
    <row r="69" spans="1:35" x14ac:dyDescent="0.25">
      <c r="A69" s="14"/>
      <c r="B69" s="713" t="s">
        <v>154</v>
      </c>
      <c r="C69" s="714"/>
      <c r="D69" s="714"/>
      <c r="E69" s="85"/>
      <c r="F69" s="640" t="s">
        <v>70</v>
      </c>
      <c r="G69" s="641"/>
      <c r="H69" s="35">
        <v>-0.5</v>
      </c>
      <c r="I69" s="35">
        <v>-0.5</v>
      </c>
      <c r="J69" s="35">
        <v>-0.5</v>
      </c>
      <c r="K69" s="35">
        <v>-0.5</v>
      </c>
      <c r="L69" s="35">
        <v>-0.5</v>
      </c>
      <c r="M69" s="35">
        <v>-0.5</v>
      </c>
      <c r="N69" s="35">
        <v>-0.5</v>
      </c>
      <c r="O69" s="36">
        <v>-0.5</v>
      </c>
      <c r="P69" s="14"/>
      <c r="Q69" s="136" t="s">
        <v>91</v>
      </c>
      <c r="R69" s="141">
        <v>6.625</v>
      </c>
      <c r="S69" s="80" t="s">
        <v>151</v>
      </c>
      <c r="T69" s="140">
        <v>-0.5</v>
      </c>
      <c r="U69" s="14"/>
      <c r="V69" s="3"/>
      <c r="W69" s="3"/>
      <c r="X69" s="3"/>
      <c r="Y69" s="3"/>
      <c r="Z69" s="3"/>
      <c r="AA69" s="3"/>
      <c r="AB69" s="3"/>
      <c r="AC69" s="3"/>
      <c r="AD69" s="3"/>
      <c r="AE69" s="3"/>
      <c r="AF69" s="3"/>
      <c r="AG69" s="3"/>
      <c r="AH69" s="3"/>
      <c r="AI69" s="3"/>
    </row>
    <row r="70" spans="1:35" ht="15.75" customHeight="1" x14ac:dyDescent="0.25">
      <c r="A70" s="14"/>
      <c r="B70" s="743" t="s">
        <v>157</v>
      </c>
      <c r="C70" s="744"/>
      <c r="D70" s="744"/>
      <c r="E70" s="88"/>
      <c r="F70" s="746" t="s">
        <v>34</v>
      </c>
      <c r="G70" s="747"/>
      <c r="H70" s="747"/>
      <c r="I70" s="747"/>
      <c r="J70" s="747"/>
      <c r="K70" s="747"/>
      <c r="L70" s="747"/>
      <c r="M70" s="747"/>
      <c r="N70" s="747"/>
      <c r="O70" s="748"/>
      <c r="P70" s="14"/>
      <c r="Q70" s="142" t="s">
        <v>123</v>
      </c>
      <c r="R70" s="143">
        <v>7.375</v>
      </c>
      <c r="S70" s="42" t="s">
        <v>105</v>
      </c>
      <c r="T70" s="42" t="s">
        <v>106</v>
      </c>
      <c r="U70" s="14"/>
      <c r="V70" s="3"/>
      <c r="W70" s="3"/>
      <c r="X70" s="3"/>
      <c r="Y70" s="3"/>
      <c r="Z70" s="3"/>
      <c r="AA70" s="3"/>
      <c r="AB70" s="3"/>
      <c r="AC70" s="3"/>
      <c r="AD70" s="3"/>
      <c r="AE70" s="3"/>
      <c r="AF70" s="3"/>
      <c r="AG70" s="3"/>
      <c r="AH70" s="3"/>
      <c r="AI70" s="3"/>
    </row>
    <row r="71" spans="1:35" x14ac:dyDescent="0.25">
      <c r="A71" s="14"/>
      <c r="B71" s="739" t="s">
        <v>160</v>
      </c>
      <c r="C71" s="740"/>
      <c r="D71" s="740"/>
      <c r="E71" s="90"/>
      <c r="F71" s="640" t="s">
        <v>35</v>
      </c>
      <c r="G71" s="641"/>
      <c r="H71" s="35">
        <v>0</v>
      </c>
      <c r="I71" s="35">
        <v>0</v>
      </c>
      <c r="J71" s="35">
        <v>0</v>
      </c>
      <c r="K71" s="35">
        <v>0</v>
      </c>
      <c r="L71" s="35">
        <v>0</v>
      </c>
      <c r="M71" s="35">
        <v>0</v>
      </c>
      <c r="N71" s="35">
        <v>0</v>
      </c>
      <c r="O71" s="35">
        <v>0</v>
      </c>
      <c r="P71" s="14"/>
      <c r="Q71" s="89"/>
      <c r="R71" s="89"/>
      <c r="S71" s="144" t="s">
        <v>110</v>
      </c>
      <c r="T71" s="145" t="s">
        <v>111</v>
      </c>
      <c r="U71" s="14"/>
      <c r="V71" s="3"/>
      <c r="W71" s="3"/>
      <c r="X71" s="3"/>
      <c r="Y71" s="3"/>
      <c r="Z71" s="3"/>
      <c r="AA71" s="3"/>
      <c r="AB71" s="3"/>
      <c r="AC71" s="3"/>
      <c r="AD71" s="3"/>
      <c r="AE71" s="3"/>
      <c r="AF71" s="3"/>
      <c r="AG71" s="3"/>
      <c r="AH71" s="3"/>
      <c r="AI71" s="3"/>
    </row>
    <row r="72" spans="1:35" ht="17.25" customHeight="1" x14ac:dyDescent="0.25">
      <c r="A72" s="14"/>
      <c r="B72" s="715" t="s">
        <v>666</v>
      </c>
      <c r="C72" s="755"/>
      <c r="D72" s="755"/>
      <c r="E72" s="90"/>
      <c r="F72" s="640" t="s">
        <v>167</v>
      </c>
      <c r="G72" s="641"/>
      <c r="H72" s="35">
        <v>-1.25</v>
      </c>
      <c r="I72" s="35">
        <v>-1.25</v>
      </c>
      <c r="J72" s="35">
        <v>-1.25</v>
      </c>
      <c r="K72" s="35">
        <v>-1.25</v>
      </c>
      <c r="L72" s="35">
        <v>-1.25</v>
      </c>
      <c r="M72" s="35">
        <v>-1.25</v>
      </c>
      <c r="N72" s="35">
        <v>-1.5</v>
      </c>
      <c r="O72" s="36">
        <v>-2</v>
      </c>
      <c r="P72" s="14"/>
      <c r="Q72" s="89"/>
      <c r="R72" s="89"/>
      <c r="S72" s="144" t="s">
        <v>114</v>
      </c>
      <c r="T72" s="145" t="s">
        <v>115</v>
      </c>
      <c r="U72" s="54"/>
      <c r="V72" s="3"/>
      <c r="W72" s="3"/>
      <c r="X72" s="3"/>
      <c r="Y72" s="3"/>
      <c r="Z72" s="3"/>
      <c r="AA72" s="3"/>
      <c r="AB72" s="3"/>
      <c r="AC72" s="3"/>
      <c r="AD72" s="3"/>
      <c r="AE72" s="3"/>
      <c r="AF72" s="3"/>
      <c r="AG72" s="3"/>
      <c r="AH72" s="3"/>
      <c r="AI72" s="3"/>
    </row>
    <row r="73" spans="1:35" x14ac:dyDescent="0.25">
      <c r="A73" s="14"/>
      <c r="B73" s="755"/>
      <c r="C73" s="755"/>
      <c r="D73" s="755"/>
      <c r="E73" s="90"/>
      <c r="F73" s="640" t="s">
        <v>169</v>
      </c>
      <c r="G73" s="641"/>
      <c r="H73" s="35">
        <v>-1.75</v>
      </c>
      <c r="I73" s="35">
        <v>-1.75</v>
      </c>
      <c r="J73" s="35">
        <v>-1.75</v>
      </c>
      <c r="K73" s="35">
        <v>-1.75</v>
      </c>
      <c r="L73" s="35">
        <v>-1.75</v>
      </c>
      <c r="M73" s="35">
        <v>-2</v>
      </c>
      <c r="N73" s="35">
        <v>-2</v>
      </c>
      <c r="O73" s="36" t="e">
        <v>#N/A</v>
      </c>
      <c r="P73" s="14"/>
      <c r="Q73" s="89"/>
      <c r="R73" s="89"/>
      <c r="S73" s="144" t="s">
        <v>119</v>
      </c>
      <c r="T73" s="145" t="s">
        <v>120</v>
      </c>
      <c r="U73" s="54"/>
      <c r="V73" s="3"/>
      <c r="W73" s="3"/>
      <c r="X73" s="3"/>
      <c r="Y73" s="3"/>
      <c r="Z73" s="3"/>
      <c r="AA73" s="3"/>
      <c r="AB73" s="3"/>
      <c r="AC73" s="3"/>
      <c r="AD73" s="3"/>
      <c r="AE73" s="3"/>
      <c r="AF73" s="3"/>
      <c r="AG73" s="3"/>
      <c r="AH73" s="3"/>
      <c r="AI73" s="3"/>
    </row>
    <row r="74" spans="1:35" x14ac:dyDescent="0.25">
      <c r="A74" s="14"/>
      <c r="B74" s="755"/>
      <c r="C74" s="755"/>
      <c r="D74" s="755"/>
      <c r="E74" s="90"/>
      <c r="F74" s="640" t="s">
        <v>170</v>
      </c>
      <c r="G74" s="641"/>
      <c r="H74" s="35">
        <v>-1.75</v>
      </c>
      <c r="I74" s="35">
        <v>-1.75</v>
      </c>
      <c r="J74" s="35">
        <v>-1.75</v>
      </c>
      <c r="K74" s="35">
        <v>-1.75</v>
      </c>
      <c r="L74" s="35">
        <v>-1.75</v>
      </c>
      <c r="M74" s="35">
        <v>-2</v>
      </c>
      <c r="N74" s="35">
        <v>-2</v>
      </c>
      <c r="O74" s="36" t="e">
        <v>#N/A</v>
      </c>
      <c r="P74" s="14"/>
      <c r="Q74" s="89"/>
      <c r="R74" s="89"/>
      <c r="S74" s="144" t="s">
        <v>124</v>
      </c>
      <c r="T74" s="146" t="s">
        <v>125</v>
      </c>
      <c r="U74" s="54"/>
      <c r="V74" s="3"/>
      <c r="W74" s="3"/>
      <c r="X74" s="3"/>
      <c r="Y74" s="3"/>
      <c r="Z74" s="3"/>
      <c r="AA74" s="3"/>
      <c r="AB74" s="3"/>
      <c r="AC74" s="3"/>
      <c r="AD74" s="3"/>
      <c r="AE74" s="3"/>
      <c r="AF74" s="3"/>
      <c r="AG74" s="3"/>
      <c r="AH74" s="3"/>
      <c r="AI74" s="3"/>
    </row>
    <row r="75" spans="1:35" x14ac:dyDescent="0.25">
      <c r="A75" s="14"/>
      <c r="B75" s="755"/>
      <c r="C75" s="755"/>
      <c r="D75" s="755"/>
      <c r="E75" s="90"/>
      <c r="F75" s="640" t="s">
        <v>171</v>
      </c>
      <c r="G75" s="641"/>
      <c r="H75" s="35">
        <v>0</v>
      </c>
      <c r="I75" s="35">
        <v>0</v>
      </c>
      <c r="J75" s="35">
        <v>0</v>
      </c>
      <c r="K75" s="35">
        <v>0</v>
      </c>
      <c r="L75" s="35">
        <v>0</v>
      </c>
      <c r="M75" s="35">
        <v>0</v>
      </c>
      <c r="N75" s="35">
        <v>0</v>
      </c>
      <c r="O75" s="36">
        <v>0</v>
      </c>
      <c r="P75" s="14"/>
      <c r="Q75" s="89"/>
      <c r="R75" s="89"/>
      <c r="S75" s="144" t="s">
        <v>128</v>
      </c>
      <c r="T75" s="146" t="s">
        <v>129</v>
      </c>
      <c r="U75" s="54"/>
      <c r="W75" s="3"/>
      <c r="X75" s="3"/>
      <c r="Y75" s="3"/>
      <c r="Z75" s="3"/>
      <c r="AA75" s="3"/>
      <c r="AB75" s="3"/>
      <c r="AC75" s="3"/>
      <c r="AD75" s="3"/>
      <c r="AE75" s="3"/>
      <c r="AF75" s="3"/>
      <c r="AG75" s="3"/>
      <c r="AH75" s="3"/>
      <c r="AI75" s="3"/>
    </row>
    <row r="76" spans="1:35" x14ac:dyDescent="0.25">
      <c r="A76" s="14"/>
      <c r="B76" s="754"/>
      <c r="C76" s="754"/>
      <c r="D76" s="754"/>
      <c r="E76" s="90"/>
      <c r="F76" s="746" t="s">
        <v>37</v>
      </c>
      <c r="G76" s="747"/>
      <c r="H76" s="747"/>
      <c r="I76" s="747"/>
      <c r="J76" s="747"/>
      <c r="K76" s="747"/>
      <c r="L76" s="747"/>
      <c r="M76" s="747"/>
      <c r="N76" s="747"/>
      <c r="O76" s="748"/>
      <c r="P76" s="14"/>
      <c r="Q76" s="89"/>
      <c r="R76" s="89"/>
      <c r="S76" s="144" t="s">
        <v>120</v>
      </c>
      <c r="T76" s="147">
        <v>4</v>
      </c>
      <c r="U76" s="54"/>
      <c r="W76" s="3"/>
      <c r="X76" s="3"/>
      <c r="Y76" s="3"/>
      <c r="Z76" s="3"/>
      <c r="AA76" s="3"/>
      <c r="AB76" s="3"/>
      <c r="AC76" s="3"/>
      <c r="AD76" s="3"/>
      <c r="AE76" s="3"/>
      <c r="AF76" s="3"/>
      <c r="AG76" s="3"/>
      <c r="AH76" s="3"/>
      <c r="AI76" s="3"/>
    </row>
    <row r="77" spans="1:35" ht="15.75" thickBot="1" x14ac:dyDescent="0.3">
      <c r="A77" s="14"/>
      <c r="B77" s="89"/>
      <c r="C77" s="89"/>
      <c r="D77" s="89"/>
      <c r="E77" s="90"/>
      <c r="F77" s="640" t="s">
        <v>172</v>
      </c>
      <c r="G77" s="641"/>
      <c r="H77" s="35">
        <v>-2</v>
      </c>
      <c r="I77" s="35">
        <v>-2</v>
      </c>
      <c r="J77" s="35">
        <v>-2</v>
      </c>
      <c r="K77" s="35">
        <v>-2</v>
      </c>
      <c r="L77" s="35">
        <v>-2</v>
      </c>
      <c r="M77" s="35">
        <v>-2</v>
      </c>
      <c r="N77" s="35">
        <v>-2</v>
      </c>
      <c r="O77" s="36">
        <v>-2</v>
      </c>
      <c r="P77" s="14"/>
      <c r="Q77" s="89"/>
      <c r="R77" s="89"/>
      <c r="S77" s="148"/>
      <c r="T77" s="149"/>
      <c r="U77" s="54"/>
      <c r="W77" s="3"/>
      <c r="X77" s="3"/>
      <c r="Y77" s="3"/>
      <c r="Z77" s="3"/>
      <c r="AA77" s="3"/>
      <c r="AB77" s="3"/>
      <c r="AC77" s="3"/>
      <c r="AD77" s="3"/>
      <c r="AE77" s="3"/>
      <c r="AF77" s="3"/>
      <c r="AG77" s="3"/>
      <c r="AH77" s="3"/>
      <c r="AI77" s="3"/>
    </row>
    <row r="78" spans="1:35" ht="15" customHeight="1" x14ac:dyDescent="0.25">
      <c r="A78" s="14"/>
      <c r="B78" s="89"/>
      <c r="C78" s="89"/>
      <c r="D78" s="89"/>
      <c r="E78" s="90"/>
      <c r="F78" s="640" t="s">
        <v>173</v>
      </c>
      <c r="G78" s="641"/>
      <c r="H78" s="35">
        <v>-1</v>
      </c>
      <c r="I78" s="35">
        <v>-1</v>
      </c>
      <c r="J78" s="35">
        <v>-1</v>
      </c>
      <c r="K78" s="35">
        <v>-1.25</v>
      </c>
      <c r="L78" s="35">
        <v>-1.25</v>
      </c>
      <c r="M78" s="35">
        <v>-1.25</v>
      </c>
      <c r="N78" s="35">
        <v>-1.25</v>
      </c>
      <c r="O78" s="36">
        <v>-1.25</v>
      </c>
      <c r="P78" s="14"/>
      <c r="Q78" s="649" t="s">
        <v>767</v>
      </c>
      <c r="R78" s="650"/>
      <c r="S78" s="650"/>
      <c r="T78" s="651"/>
      <c r="U78" s="54"/>
      <c r="W78" s="3"/>
      <c r="X78" s="3"/>
      <c r="Y78" s="3"/>
      <c r="Z78" s="3"/>
      <c r="AA78" s="3"/>
      <c r="AB78" s="3"/>
      <c r="AC78" s="3"/>
      <c r="AD78" s="3"/>
      <c r="AE78" s="3"/>
      <c r="AF78" s="3"/>
      <c r="AG78" s="3"/>
      <c r="AH78" s="3"/>
      <c r="AI78" s="3"/>
    </row>
    <row r="79" spans="1:35" x14ac:dyDescent="0.25">
      <c r="A79" s="14"/>
      <c r="B79" s="89"/>
      <c r="C79" s="89"/>
      <c r="D79" s="89"/>
      <c r="E79" s="90"/>
      <c r="F79" s="640" t="s">
        <v>174</v>
      </c>
      <c r="G79" s="641"/>
      <c r="H79" s="35">
        <v>-0.25</v>
      </c>
      <c r="I79" s="35">
        <v>-0.25</v>
      </c>
      <c r="J79" s="35">
        <v>-0.25</v>
      </c>
      <c r="K79" s="35">
        <v>-0.25</v>
      </c>
      <c r="L79" s="35">
        <v>-0.25</v>
      </c>
      <c r="M79" s="35">
        <v>-0.5</v>
      </c>
      <c r="N79" s="35">
        <v>-0.5</v>
      </c>
      <c r="O79" s="36">
        <v>-0.5</v>
      </c>
      <c r="P79" s="14"/>
      <c r="Q79" s="722" t="str">
        <f>'Feed(DSCR)'!$U$161</f>
        <v>Tier 1 States</v>
      </c>
      <c r="R79" s="721" t="str">
        <f>'Feed(DSCR)'!$V$161</f>
        <v>AZ, CA, CO, CT, GA, HI, MA, MD, NJ, NV, OR, SC, UT, VA, WA</v>
      </c>
      <c r="S79" s="721"/>
      <c r="T79" s="719">
        <f>'Feed(DSCR)'!$W$161</f>
        <v>0</v>
      </c>
      <c r="U79" s="54"/>
      <c r="W79" s="3"/>
      <c r="X79" s="3"/>
      <c r="Y79" s="3"/>
      <c r="Z79" s="3"/>
      <c r="AA79" s="3"/>
      <c r="AB79" s="3"/>
      <c r="AC79" s="3"/>
      <c r="AD79" s="3"/>
      <c r="AE79" s="3"/>
      <c r="AF79" s="3"/>
      <c r="AG79" s="3"/>
      <c r="AH79" s="3"/>
      <c r="AI79" s="3"/>
    </row>
    <row r="80" spans="1:35" ht="15.75" thickBot="1" x14ac:dyDescent="0.3">
      <c r="A80" s="14"/>
      <c r="B80" s="754"/>
      <c r="C80" s="754"/>
      <c r="D80" s="754"/>
      <c r="E80" s="90"/>
      <c r="F80" s="647" t="s">
        <v>175</v>
      </c>
      <c r="G80" s="648"/>
      <c r="H80" s="363">
        <v>0</v>
      </c>
      <c r="I80" s="363">
        <v>0</v>
      </c>
      <c r="J80" s="363">
        <v>0</v>
      </c>
      <c r="K80" s="363">
        <v>0</v>
      </c>
      <c r="L80" s="363">
        <v>0</v>
      </c>
      <c r="M80" s="363">
        <v>0</v>
      </c>
      <c r="N80" s="363">
        <v>0</v>
      </c>
      <c r="O80" s="364">
        <v>0</v>
      </c>
      <c r="P80" s="14"/>
      <c r="Q80" s="722"/>
      <c r="R80" s="721"/>
      <c r="S80" s="721"/>
      <c r="T80" s="719"/>
      <c r="U80" s="14"/>
    </row>
    <row r="81" spans="1:21" x14ac:dyDescent="0.25">
      <c r="A81" s="14"/>
      <c r="B81" s="366"/>
      <c r="C81" s="366"/>
      <c r="D81" s="367"/>
      <c r="E81" s="90"/>
      <c r="F81" s="369"/>
      <c r="G81" s="370"/>
      <c r="H81" s="370"/>
      <c r="I81" s="370"/>
      <c r="J81" s="370"/>
      <c r="K81" s="370"/>
      <c r="L81" s="370"/>
      <c r="M81" s="370"/>
      <c r="N81" s="370"/>
      <c r="O81" s="371"/>
      <c r="P81" s="14"/>
      <c r="Q81" s="722" t="str">
        <f>'Feed(DSCR)'!$U$162</f>
        <v>Tier 2 States</v>
      </c>
      <c r="R81" s="721" t="str">
        <f>'Feed(DSCR)'!$V$162</f>
        <v>DC, FL, ID, IL, IN, LA, MI, MN, MO, NC, OH, OK, PA, RI, TN, TX</v>
      </c>
      <c r="S81" s="721"/>
      <c r="T81" s="719">
        <f>'Feed(DSCR)'!$W$162</f>
        <v>0.15</v>
      </c>
      <c r="U81" s="14"/>
    </row>
    <row r="82" spans="1:21" ht="15" customHeight="1" x14ac:dyDescent="0.25">
      <c r="A82" s="14"/>
      <c r="B82" s="366"/>
      <c r="C82" s="366"/>
      <c r="D82" s="367"/>
      <c r="E82" s="90"/>
      <c r="F82" s="372"/>
      <c r="G82" s="365"/>
      <c r="H82" s="365"/>
      <c r="I82" s="365"/>
      <c r="J82" s="365"/>
      <c r="K82" s="365"/>
      <c r="L82" s="365"/>
      <c r="M82" s="365"/>
      <c r="N82" s="365"/>
      <c r="O82" s="373"/>
      <c r="P82" s="14"/>
      <c r="Q82" s="722"/>
      <c r="R82" s="721"/>
      <c r="S82" s="721"/>
      <c r="T82" s="719"/>
      <c r="U82" s="14"/>
    </row>
    <row r="83" spans="1:21" ht="15" customHeight="1" x14ac:dyDescent="0.25">
      <c r="A83" s="14"/>
      <c r="B83" s="366"/>
      <c r="C83" s="366"/>
      <c r="D83" s="367"/>
      <c r="E83" s="90"/>
      <c r="F83" s="372"/>
      <c r="G83" s="365"/>
      <c r="H83" s="365"/>
      <c r="I83" s="365"/>
      <c r="J83" s="365"/>
      <c r="K83" s="365"/>
      <c r="L83" s="365"/>
      <c r="M83" s="365"/>
      <c r="N83" s="365"/>
      <c r="O83" s="373"/>
      <c r="P83" s="14"/>
      <c r="Q83" s="722" t="str">
        <f>'Feed(DSCR)'!$U$163</f>
        <v>Tier 3 States</v>
      </c>
      <c r="R83" s="721" t="str">
        <f>'Feed(DSCR)'!$V$163</f>
        <v>AK, AL, AR, DE, IA, KS, KY, ME, MS, MT, ND, NE, NH, NM, SD, VT WI, WV, WY</v>
      </c>
      <c r="S83" s="721"/>
      <c r="T83" s="719">
        <f>'Feed(DSCR)'!$W$163</f>
        <v>0.25</v>
      </c>
      <c r="U83" s="14"/>
    </row>
    <row r="84" spans="1:21" ht="15" customHeight="1" thickBot="1" x14ac:dyDescent="0.3">
      <c r="A84" s="14"/>
      <c r="B84" s="366"/>
      <c r="C84" s="366"/>
      <c r="D84" s="367"/>
      <c r="E84" s="90"/>
      <c r="F84" s="372"/>
      <c r="G84" s="365"/>
      <c r="H84" s="365"/>
      <c r="I84" s="365"/>
      <c r="J84" s="365"/>
      <c r="K84" s="365"/>
      <c r="L84" s="365"/>
      <c r="M84" s="365"/>
      <c r="N84" s="365"/>
      <c r="O84" s="373"/>
      <c r="P84" s="14"/>
      <c r="Q84" s="729"/>
      <c r="R84" s="730"/>
      <c r="S84" s="730"/>
      <c r="T84" s="720"/>
      <c r="U84" s="14"/>
    </row>
    <row r="85" spans="1:21" ht="15" customHeight="1" x14ac:dyDescent="0.25">
      <c r="A85" s="14"/>
      <c r="B85" s="366"/>
      <c r="C85" s="366"/>
      <c r="D85" s="367"/>
      <c r="E85" s="90"/>
      <c r="F85" s="372"/>
      <c r="G85" s="365"/>
      <c r="H85" s="365"/>
      <c r="I85" s="365"/>
      <c r="J85" s="365"/>
      <c r="K85" s="365"/>
      <c r="L85" s="365"/>
      <c r="M85" s="365"/>
      <c r="N85" s="365"/>
      <c r="O85" s="373"/>
      <c r="P85" s="14"/>
      <c r="Q85" s="616"/>
      <c r="R85" s="365"/>
      <c r="S85" s="365"/>
      <c r="T85" s="365"/>
      <c r="U85" s="14"/>
    </row>
    <row r="86" spans="1:21" ht="15" customHeight="1" thickBot="1" x14ac:dyDescent="0.3">
      <c r="A86" s="14"/>
      <c r="B86" s="152"/>
      <c r="C86" s="153"/>
      <c r="D86" s="154"/>
      <c r="E86" s="90"/>
      <c r="F86" s="155"/>
      <c r="G86" s="156"/>
      <c r="H86" s="156"/>
      <c r="I86" s="156"/>
      <c r="J86" s="156"/>
      <c r="K86" s="156"/>
      <c r="L86" s="156"/>
      <c r="M86" s="156"/>
      <c r="N86" s="156"/>
      <c r="O86" s="157"/>
      <c r="P86" s="14"/>
      <c r="Q86" s="155"/>
      <c r="R86" s="156"/>
      <c r="S86" s="156"/>
      <c r="T86" s="157"/>
      <c r="U86" s="14"/>
    </row>
    <row r="87" spans="1:21" ht="15" customHeight="1" x14ac:dyDescent="0.25">
      <c r="B87" s="753"/>
      <c r="C87" s="753"/>
      <c r="D87" s="108"/>
      <c r="E87" s="108"/>
      <c r="F87" s="159"/>
      <c r="G87" s="159"/>
      <c r="H87" s="161"/>
      <c r="I87" s="161"/>
      <c r="J87" s="161"/>
      <c r="K87" s="161"/>
      <c r="L87" s="161"/>
      <c r="M87" s="161"/>
      <c r="N87" s="161"/>
      <c r="O87" s="161"/>
      <c r="Q87" s="3"/>
      <c r="R87" s="3"/>
    </row>
    <row r="88" spans="1:21" ht="15" customHeight="1" x14ac:dyDescent="0.25">
      <c r="B88" s="753"/>
      <c r="C88" s="753"/>
      <c r="D88" s="108"/>
      <c r="E88" s="108"/>
      <c r="F88" s="159"/>
      <c r="G88" s="159"/>
      <c r="H88" s="161"/>
      <c r="I88" s="161"/>
      <c r="J88" s="161"/>
      <c r="K88" s="161"/>
      <c r="L88" s="161"/>
      <c r="M88" s="161"/>
      <c r="N88" s="161"/>
      <c r="O88" s="161"/>
      <c r="Q88" s="3"/>
      <c r="R88" s="3"/>
    </row>
    <row r="89" spans="1:21" x14ac:dyDescent="0.25">
      <c r="B89" s="3"/>
      <c r="C89" s="3"/>
      <c r="D89" s="3"/>
      <c r="E89" s="3"/>
      <c r="F89" s="159"/>
      <c r="G89" s="159"/>
      <c r="H89" s="161"/>
      <c r="I89" s="161"/>
      <c r="J89" s="161"/>
      <c r="K89" s="161"/>
      <c r="L89" s="161"/>
      <c r="M89" s="161"/>
      <c r="N89" s="161"/>
      <c r="O89" s="161"/>
    </row>
    <row r="90" spans="1:21" x14ac:dyDescent="0.25">
      <c r="B90" s="3"/>
      <c r="C90" s="3"/>
      <c r="D90" s="3"/>
      <c r="E90" s="3"/>
      <c r="F90" s="159"/>
      <c r="G90" s="159"/>
      <c r="H90" s="161"/>
      <c r="I90" s="161"/>
      <c r="J90" s="161"/>
      <c r="K90" s="161"/>
      <c r="L90" s="161"/>
      <c r="M90" s="161"/>
      <c r="N90" s="161"/>
      <c r="O90" s="161"/>
    </row>
    <row r="91" spans="1:21" ht="15.75" x14ac:dyDescent="0.25">
      <c r="B91" s="109"/>
      <c r="C91" s="109"/>
      <c r="D91" s="109"/>
      <c r="E91" s="109"/>
      <c r="F91" s="159"/>
      <c r="G91" s="159"/>
      <c r="H91" s="161"/>
      <c r="I91" s="161"/>
      <c r="J91" s="161"/>
      <c r="K91" s="161"/>
      <c r="L91" s="161"/>
      <c r="M91" s="161"/>
      <c r="N91" s="161"/>
      <c r="O91" s="161"/>
    </row>
    <row r="92" spans="1:21" x14ac:dyDescent="0.25">
      <c r="B92" s="110"/>
      <c r="C92" s="110"/>
      <c r="D92" s="110"/>
      <c r="E92" s="110"/>
      <c r="F92" s="159"/>
      <c r="G92" s="159"/>
      <c r="H92" s="161"/>
      <c r="I92" s="161"/>
      <c r="J92" s="161"/>
      <c r="K92" s="161"/>
      <c r="L92" s="161"/>
      <c r="M92" s="161"/>
      <c r="N92" s="161"/>
      <c r="O92" s="161"/>
    </row>
    <row r="93" spans="1:21" x14ac:dyDescent="0.25">
      <c r="B93" s="110"/>
      <c r="C93" s="110"/>
      <c r="D93" s="110"/>
      <c r="E93" s="110"/>
      <c r="F93" s="159"/>
      <c r="G93" s="159"/>
      <c r="H93" s="161"/>
      <c r="I93" s="161"/>
      <c r="J93" s="161"/>
      <c r="K93" s="161"/>
      <c r="L93" s="161"/>
      <c r="M93" s="161"/>
      <c r="N93" s="161"/>
      <c r="O93" s="161"/>
    </row>
    <row r="94" spans="1:21" x14ac:dyDescent="0.25">
      <c r="B94" s="110"/>
      <c r="C94" s="110"/>
      <c r="D94" s="110"/>
      <c r="E94" s="110"/>
      <c r="F94" s="159"/>
      <c r="G94" s="159"/>
      <c r="H94" s="161"/>
      <c r="I94" s="161"/>
      <c r="J94" s="161"/>
      <c r="K94" s="161"/>
      <c r="L94" s="161"/>
      <c r="M94" s="161"/>
      <c r="N94" s="161"/>
      <c r="O94" s="161"/>
    </row>
    <row r="95" spans="1:21" x14ac:dyDescent="0.25">
      <c r="B95" s="110"/>
      <c r="C95" s="110"/>
      <c r="D95" s="110"/>
      <c r="E95" s="110"/>
      <c r="F95" s="159"/>
      <c r="G95" s="159"/>
      <c r="H95" s="161"/>
      <c r="I95" s="161"/>
      <c r="J95" s="161"/>
      <c r="K95" s="161"/>
      <c r="L95" s="161"/>
      <c r="M95" s="161"/>
      <c r="N95" s="161"/>
      <c r="O95" s="161"/>
    </row>
    <row r="96" spans="1:21" ht="14.25" customHeight="1" x14ac:dyDescent="0.25">
      <c r="B96" s="110"/>
      <c r="C96" s="110"/>
      <c r="D96" s="110"/>
      <c r="E96" s="110"/>
      <c r="F96" s="162"/>
      <c r="G96" s="162"/>
      <c r="H96" s="163"/>
      <c r="I96" s="163"/>
      <c r="J96" s="163"/>
      <c r="K96" s="164"/>
      <c r="L96" s="164"/>
      <c r="M96" s="164"/>
      <c r="N96" s="164"/>
      <c r="O96" s="102"/>
    </row>
    <row r="97" spans="6:15" x14ac:dyDescent="0.25">
      <c r="F97"/>
      <c r="G97"/>
      <c r="H97" s="163"/>
      <c r="I97" s="163"/>
      <c r="J97" s="163"/>
      <c r="K97" s="164"/>
      <c r="L97" s="164"/>
      <c r="M97" s="164"/>
      <c r="N97" s="164"/>
      <c r="O97" s="102"/>
    </row>
    <row r="98" spans="6:15" x14ac:dyDescent="0.25">
      <c r="F98" s="3"/>
      <c r="G98" s="3"/>
      <c r="H98" s="100"/>
      <c r="I98" s="100"/>
      <c r="J98" s="100"/>
      <c r="K98" s="101"/>
      <c r="L98" s="101"/>
      <c r="M98" s="101"/>
      <c r="N98" s="101"/>
      <c r="O98" s="102"/>
    </row>
    <row r="99" spans="6:15" x14ac:dyDescent="0.25">
      <c r="F99" s="3"/>
      <c r="G99" s="3"/>
      <c r="H99" s="100"/>
      <c r="I99" s="100"/>
      <c r="J99" s="100"/>
      <c r="K99" s="101"/>
      <c r="L99" s="101"/>
      <c r="M99" s="101"/>
      <c r="N99" s="101"/>
      <c r="O99" s="102"/>
    </row>
    <row r="100" spans="6:15" x14ac:dyDescent="0.25">
      <c r="F100" s="3"/>
      <c r="G100" s="3"/>
      <c r="H100" s="100"/>
      <c r="I100" s="100"/>
      <c r="J100" s="100"/>
      <c r="K100" s="101"/>
      <c r="L100" s="101"/>
      <c r="M100" s="101"/>
      <c r="N100" s="101"/>
      <c r="O100" s="102"/>
    </row>
    <row r="101" spans="6:15" x14ac:dyDescent="0.25">
      <c r="F101" s="3"/>
      <c r="G101" s="3"/>
      <c r="H101" s="103"/>
      <c r="I101" s="104"/>
      <c r="J101" s="104"/>
      <c r="K101" s="104"/>
      <c r="L101" s="104"/>
      <c r="M101" s="104"/>
      <c r="N101" s="104"/>
      <c r="O101" s="110"/>
    </row>
    <row r="102" spans="6:15" x14ac:dyDescent="0.25">
      <c r="F102" s="3"/>
      <c r="G102" s="3"/>
      <c r="H102" s="103"/>
      <c r="I102" s="104"/>
      <c r="J102" s="104"/>
      <c r="K102" s="104"/>
      <c r="L102" s="104"/>
      <c r="M102" s="104"/>
      <c r="N102" s="104"/>
    </row>
    <row r="103" spans="6:15" x14ac:dyDescent="0.25">
      <c r="F103" s="3"/>
      <c r="G103" s="3"/>
      <c r="H103" s="103"/>
      <c r="I103" s="104"/>
      <c r="J103" s="104"/>
      <c r="K103" s="104"/>
      <c r="L103" s="104"/>
      <c r="M103" s="104"/>
      <c r="N103" s="104"/>
    </row>
    <row r="104" spans="6:15" x14ac:dyDescent="0.25">
      <c r="F104" s="3"/>
      <c r="G104" s="3"/>
      <c r="H104" s="103"/>
      <c r="I104" s="104"/>
      <c r="J104" s="104"/>
      <c r="K104" s="104"/>
      <c r="L104" s="104"/>
      <c r="M104" s="104"/>
      <c r="N104" s="104"/>
    </row>
    <row r="105" spans="6:15" x14ac:dyDescent="0.25">
      <c r="F105" s="3"/>
      <c r="G105" s="3"/>
      <c r="H105" s="103"/>
      <c r="I105" s="104"/>
      <c r="J105" s="104"/>
      <c r="K105" s="104"/>
      <c r="L105" s="104"/>
      <c r="M105" s="104"/>
      <c r="N105" s="104"/>
    </row>
  </sheetData>
  <sheetProtection algorithmName="SHA-512" hashValue="bmruUmGcEUdJhlok5tFK5Ec0eVXhiRACFWti1x2dxxz/EJIpW2oN7XPnQWTzGLe6hzwk8zSSU+cTPsnop2zMGg==" saltValue="50KAj6ls7gdngBeybfavBw==" spinCount="100000" sheet="1" objects="1" scenarios="1"/>
  <mergeCells count="165">
    <mergeCell ref="B2:D2"/>
    <mergeCell ref="C3:D3"/>
    <mergeCell ref="Q81:Q82"/>
    <mergeCell ref="R81:S82"/>
    <mergeCell ref="T81:T82"/>
    <mergeCell ref="Q83:Q84"/>
    <mergeCell ref="R83:S84"/>
    <mergeCell ref="T83:T84"/>
    <mergeCell ref="Q45:R45"/>
    <mergeCell ref="Q46:R46"/>
    <mergeCell ref="S46:T46"/>
    <mergeCell ref="Q47:R47"/>
    <mergeCell ref="S47:T47"/>
    <mergeCell ref="Q51:T52"/>
    <mergeCell ref="Q78:T78"/>
    <mergeCell ref="Q79:Q80"/>
    <mergeCell ref="R79:S80"/>
    <mergeCell ref="T79:T80"/>
    <mergeCell ref="F13:G13"/>
    <mergeCell ref="Q13:R13"/>
    <mergeCell ref="B6:D7"/>
    <mergeCell ref="B9:D9"/>
    <mergeCell ref="F17:G17"/>
    <mergeCell ref="Q17:R17"/>
    <mergeCell ref="L1:O1"/>
    <mergeCell ref="L2:O2"/>
    <mergeCell ref="L3:O3"/>
    <mergeCell ref="N4:O4"/>
    <mergeCell ref="L5:M5"/>
    <mergeCell ref="N5:O5"/>
    <mergeCell ref="F11:G11"/>
    <mergeCell ref="Q11:R11"/>
    <mergeCell ref="F12:G12"/>
    <mergeCell ref="Q12:R12"/>
    <mergeCell ref="F6:O7"/>
    <mergeCell ref="Q6:T7"/>
    <mergeCell ref="F9:O9"/>
    <mergeCell ref="F10:G10"/>
    <mergeCell ref="Q10:R10"/>
    <mergeCell ref="F18:G18"/>
    <mergeCell ref="Q18:R18"/>
    <mergeCell ref="F19:G19"/>
    <mergeCell ref="Q19:R19"/>
    <mergeCell ref="F14:G14"/>
    <mergeCell ref="Q14:R14"/>
    <mergeCell ref="F15:G15"/>
    <mergeCell ref="Q15:R15"/>
    <mergeCell ref="F16:G16"/>
    <mergeCell ref="Q16:R16"/>
    <mergeCell ref="U22:U23"/>
    <mergeCell ref="F23:G23"/>
    <mergeCell ref="F24:G24"/>
    <mergeCell ref="Q24:R24"/>
    <mergeCell ref="U24:U25"/>
    <mergeCell ref="F25:G25"/>
    <mergeCell ref="Q25:R25"/>
    <mergeCell ref="F20:G20"/>
    <mergeCell ref="Q20:R20"/>
    <mergeCell ref="F21:O21"/>
    <mergeCell ref="Q21:R21"/>
    <mergeCell ref="F22:O22"/>
    <mergeCell ref="Q23:R23"/>
    <mergeCell ref="Q22:R22"/>
    <mergeCell ref="F26:G26"/>
    <mergeCell ref="Q26:R26"/>
    <mergeCell ref="U26:U27"/>
    <mergeCell ref="F27:G27"/>
    <mergeCell ref="Q27:R27"/>
    <mergeCell ref="F28:G28"/>
    <mergeCell ref="Q28:R28"/>
    <mergeCell ref="U28:U29"/>
    <mergeCell ref="F29:O29"/>
    <mergeCell ref="Q29:R29"/>
    <mergeCell ref="U38:U39"/>
    <mergeCell ref="F39:G39"/>
    <mergeCell ref="Q39:S39"/>
    <mergeCell ref="F40:G40"/>
    <mergeCell ref="Q40:S40"/>
    <mergeCell ref="F30:G30"/>
    <mergeCell ref="Q30:R30"/>
    <mergeCell ref="U30:U31"/>
    <mergeCell ref="F31:G31"/>
    <mergeCell ref="Q31:R31"/>
    <mergeCell ref="F32:G32"/>
    <mergeCell ref="Q32:R32"/>
    <mergeCell ref="U32:U33"/>
    <mergeCell ref="F33:G33"/>
    <mergeCell ref="Q33:R33"/>
    <mergeCell ref="F34:G34"/>
    <mergeCell ref="U34:U35"/>
    <mergeCell ref="F35:O35"/>
    <mergeCell ref="Q34:R34"/>
    <mergeCell ref="F36:G36"/>
    <mergeCell ref="Q36:S36"/>
    <mergeCell ref="U36:U37"/>
    <mergeCell ref="F37:G37"/>
    <mergeCell ref="Q37:S37"/>
    <mergeCell ref="B57:C57"/>
    <mergeCell ref="F57:G57"/>
    <mergeCell ref="B58:D58"/>
    <mergeCell ref="F58:G58"/>
    <mergeCell ref="B55:C55"/>
    <mergeCell ref="F55:G55"/>
    <mergeCell ref="U40:U41"/>
    <mergeCell ref="F41:G41"/>
    <mergeCell ref="F46:G46"/>
    <mergeCell ref="U46:U47"/>
    <mergeCell ref="F47:G47"/>
    <mergeCell ref="F48:G48"/>
    <mergeCell ref="F49:G49"/>
    <mergeCell ref="F42:G42"/>
    <mergeCell ref="U42:U43"/>
    <mergeCell ref="F43:G43"/>
    <mergeCell ref="F44:G44"/>
    <mergeCell ref="U44:U45"/>
    <mergeCell ref="F45:O45"/>
    <mergeCell ref="Q48:T50"/>
    <mergeCell ref="S43:T43"/>
    <mergeCell ref="Q44:R44"/>
    <mergeCell ref="B56:C56"/>
    <mergeCell ref="B87:C87"/>
    <mergeCell ref="B88:C88"/>
    <mergeCell ref="B76:D76"/>
    <mergeCell ref="B80:D80"/>
    <mergeCell ref="B70:D70"/>
    <mergeCell ref="B71:D71"/>
    <mergeCell ref="B72:D75"/>
    <mergeCell ref="F66:G66"/>
    <mergeCell ref="F67:G67"/>
    <mergeCell ref="F68:G68"/>
    <mergeCell ref="B69:D69"/>
    <mergeCell ref="F69:G69"/>
    <mergeCell ref="B59:D68"/>
    <mergeCell ref="F59:G59"/>
    <mergeCell ref="F60:G60"/>
    <mergeCell ref="F61:G61"/>
    <mergeCell ref="F62:G62"/>
    <mergeCell ref="F65:G65"/>
    <mergeCell ref="F78:G78"/>
    <mergeCell ref="F79:G79"/>
    <mergeCell ref="F76:O76"/>
    <mergeCell ref="F77:G77"/>
    <mergeCell ref="Q35:R35"/>
    <mergeCell ref="F80:G80"/>
    <mergeCell ref="F52:G52"/>
    <mergeCell ref="F53:G53"/>
    <mergeCell ref="F54:G54"/>
    <mergeCell ref="F72:G72"/>
    <mergeCell ref="F73:G73"/>
    <mergeCell ref="F74:G74"/>
    <mergeCell ref="F75:G75"/>
    <mergeCell ref="Q55:R55"/>
    <mergeCell ref="F38:G38"/>
    <mergeCell ref="Q38:S38"/>
    <mergeCell ref="F50:O50"/>
    <mergeCell ref="F51:G51"/>
    <mergeCell ref="F63:O63"/>
    <mergeCell ref="F64:G64"/>
    <mergeCell ref="F70:O70"/>
    <mergeCell ref="F71:G71"/>
    <mergeCell ref="Q41:T41"/>
    <mergeCell ref="Q42:T42"/>
    <mergeCell ref="Q43:R43"/>
    <mergeCell ref="F56:G56"/>
    <mergeCell ref="Q68:R68"/>
  </mergeCells>
  <conditionalFormatting sqref="B51:B52">
    <cfRule type="containsText" dxfId="197" priority="21" operator="containsText" text="n/a">
      <formula>NOT(ISERROR(SEARCH("n/a",B51)))</formula>
    </cfRule>
  </conditionalFormatting>
  <conditionalFormatting sqref="B55 D55">
    <cfRule type="containsText" dxfId="196" priority="28" operator="containsText" text="n/a">
      <formula>NOT(ISERROR(SEARCH("n/a",B55)))</formula>
    </cfRule>
  </conditionalFormatting>
  <conditionalFormatting sqref="B58">
    <cfRule type="containsText" dxfId="195" priority="29" operator="containsText" text="n/a">
      <formula>NOT(ISERROR(SEARCH("n/a",B58)))</formula>
    </cfRule>
  </conditionalFormatting>
  <conditionalFormatting sqref="B69">
    <cfRule type="containsText" dxfId="194" priority="23" operator="containsText" text="n/a">
      <formula>NOT(ISERROR(SEARCH("n/a",B69)))</formula>
    </cfRule>
  </conditionalFormatting>
  <conditionalFormatting sqref="B71">
    <cfRule type="containsText" dxfId="193" priority="15" operator="containsText" text="n/a">
      <formula>NOT(ISERROR(SEARCH("n/a",B71)))</formula>
    </cfRule>
  </conditionalFormatting>
  <conditionalFormatting sqref="B53:D53">
    <cfRule type="containsText" dxfId="192" priority="18" operator="containsText" text="n/a">
      <formula>NOT(ISERROR(SEARCH("n/a",B53)))</formula>
    </cfRule>
  </conditionalFormatting>
  <conditionalFormatting sqref="B8:O8 B10:D10">
    <cfRule type="containsText" dxfId="191" priority="51" operator="containsText" text="n/a">
      <formula>NOT(ISERROR(SEARCH("n/a",B8)))</formula>
    </cfRule>
  </conditionalFormatting>
  <conditionalFormatting sqref="C14:C48">
    <cfRule type="containsErrors" dxfId="190" priority="47">
      <formula>ISERROR(C14)</formula>
    </cfRule>
  </conditionalFormatting>
  <conditionalFormatting sqref="C14:C48 C51:C52">
    <cfRule type="containsText" dxfId="189" priority="20" operator="containsText" text="n/a">
      <formula>NOT(ISERROR(SEARCH("n/a",C14)))</formula>
    </cfRule>
  </conditionalFormatting>
  <conditionalFormatting sqref="D21:D48">
    <cfRule type="containsErrors" dxfId="188" priority="46">
      <formula>ISERROR(D21)</formula>
    </cfRule>
  </conditionalFormatting>
  <conditionalFormatting sqref="D21:D48 D51:D52">
    <cfRule type="containsText" dxfId="187" priority="19" operator="containsText" text="n/a">
      <formula>NOT(ISERROR(SEARCH("n/a",D21)))</formula>
    </cfRule>
  </conditionalFormatting>
  <conditionalFormatting sqref="E10:E50">
    <cfRule type="containsErrors" dxfId="186" priority="55">
      <formula>ISERROR(E10)</formula>
    </cfRule>
  </conditionalFormatting>
  <conditionalFormatting sqref="F9:F10">
    <cfRule type="containsText" dxfId="185" priority="52" operator="containsText" text="n/a">
      <formula>NOT(ISERROR(SEARCH("n/a",F9)))</formula>
    </cfRule>
  </conditionalFormatting>
  <conditionalFormatting sqref="F20:F22">
    <cfRule type="containsText" dxfId="184" priority="31" operator="containsText" text="n/a">
      <formula>NOT(ISERROR(SEARCH("n/a",F20)))</formula>
    </cfRule>
  </conditionalFormatting>
  <conditionalFormatting sqref="F29">
    <cfRule type="containsText" dxfId="183" priority="16" operator="containsText" text="n/a">
      <formula>NOT(ISERROR(SEARCH("n/a",F29)))</formula>
    </cfRule>
  </conditionalFormatting>
  <conditionalFormatting sqref="F35">
    <cfRule type="containsText" dxfId="182" priority="39" operator="containsText" text="n/a">
      <formula>NOT(ISERROR(SEARCH("n/a",F35)))</formula>
    </cfRule>
  </conditionalFormatting>
  <conditionalFormatting sqref="F45">
    <cfRule type="containsText" dxfId="181" priority="38" operator="containsText" text="n/a">
      <formula>NOT(ISERROR(SEARCH("n/a",F45)))</formula>
    </cfRule>
  </conditionalFormatting>
  <conditionalFormatting sqref="F50">
    <cfRule type="containsText" dxfId="180" priority="37" operator="containsText" text="n/a">
      <formula>NOT(ISERROR(SEARCH("n/a",F50)))</formula>
    </cfRule>
  </conditionalFormatting>
  <conditionalFormatting sqref="F63">
    <cfRule type="containsText" dxfId="179" priority="36" operator="containsText" text="n/a">
      <formula>NOT(ISERROR(SEARCH("n/a",F63)))</formula>
    </cfRule>
  </conditionalFormatting>
  <conditionalFormatting sqref="F70">
    <cfRule type="containsText" dxfId="178" priority="35" operator="containsText" text="n/a">
      <formula>NOT(ISERROR(SEARCH("n/a",F70)))</formula>
    </cfRule>
  </conditionalFormatting>
  <conditionalFormatting sqref="F76">
    <cfRule type="containsText" dxfId="177" priority="34" operator="containsText" text="n/a">
      <formula>NOT(ISERROR(SEARCH("n/a",F76)))</formula>
    </cfRule>
  </conditionalFormatting>
  <conditionalFormatting sqref="H10:O10">
    <cfRule type="containsText" dxfId="176" priority="50" operator="containsText" text="n/a">
      <formula>NOT(ISERROR(SEARCH("n/a",H10)))</formula>
    </cfRule>
  </conditionalFormatting>
  <conditionalFormatting sqref="H20:O20">
    <cfRule type="containsText" dxfId="175" priority="32" operator="containsText" text="n/a">
      <formula>NOT(ISERROR(SEARCH("n/a",H20)))</formula>
    </cfRule>
  </conditionalFormatting>
  <conditionalFormatting sqref="N11:N16 M11:M18 H11:L19">
    <cfRule type="containsText" dxfId="174" priority="54" operator="containsText" text="n/a">
      <formula>NOT(ISERROR(SEARCH("n/a",H11)))</formula>
    </cfRule>
    <cfRule type="containsErrors" dxfId="173" priority="59">
      <formula>ISERROR(H11)</formula>
    </cfRule>
  </conditionalFormatting>
  <conditionalFormatting sqref="O11:O14">
    <cfRule type="containsText" dxfId="172" priority="48" operator="containsText" text="n/a">
      <formula>NOT(ISERROR(SEARCH("n/a",O11)))</formula>
    </cfRule>
    <cfRule type="containsErrors" dxfId="171" priority="49">
      <formula>ISERROR(O11)</formula>
    </cfRule>
  </conditionalFormatting>
  <conditionalFormatting sqref="Q36:Q39">
    <cfRule type="containsText" dxfId="170" priority="40" operator="containsText" text="Rate">
      <formula>NOT(ISERROR(SEARCH("Rate",Q36)))</formula>
    </cfRule>
    <cfRule type="expression" dxfId="169" priority="41">
      <formula>Output_NetPrice_JM &lt; 99</formula>
    </cfRule>
    <cfRule type="expression" dxfId="168" priority="42">
      <formula>Output_NetPrice_ExpNR &lt; 99</formula>
    </cfRule>
  </conditionalFormatting>
  <conditionalFormatting sqref="Q55">
    <cfRule type="containsText" dxfId="167" priority="33" operator="containsText" text="n/a">
      <formula>NOT(ISERROR(SEARCH("n/a",Q55)))</formula>
    </cfRule>
  </conditionalFormatting>
  <conditionalFormatting sqref="Q68">
    <cfRule type="containsText" dxfId="166" priority="25" operator="containsText" text="n/a">
      <formula>NOT(ISERROR(SEARCH("n/a",Q68)))</formula>
    </cfRule>
  </conditionalFormatting>
  <conditionalFormatting sqref="Q8:T8">
    <cfRule type="containsText" dxfId="165" priority="53" operator="containsText" text="n/a">
      <formula>NOT(ISERROR(SEARCH("n/a",Q8)))</formula>
    </cfRule>
  </conditionalFormatting>
  <conditionalFormatting sqref="Q53:T54">
    <cfRule type="containsText" dxfId="164" priority="17" operator="containsText" text="n/a">
      <formula>NOT(ISERROR(SEARCH("n/a",Q53)))</formula>
    </cfRule>
  </conditionalFormatting>
  <conditionalFormatting sqref="S10">
    <cfRule type="containsText" dxfId="163" priority="56" operator="containsText" text="Rate">
      <formula>NOT(ISERROR(SEARCH("Rate",S10)))</formula>
    </cfRule>
    <cfRule type="expression" dxfId="162" priority="57">
      <formula>Output_NetPrice_JM &lt; 99</formula>
    </cfRule>
    <cfRule type="expression" dxfId="161" priority="58">
      <formula>Output_NetPrice_ExpNR &lt; 99</formula>
    </cfRule>
  </conditionalFormatting>
  <conditionalFormatting sqref="S55:T55">
    <cfRule type="containsText" dxfId="160" priority="24" operator="containsText" text="n/a">
      <formula>NOT(ISERROR(SEARCH("n/a",S55)))</formula>
    </cfRule>
  </conditionalFormatting>
  <conditionalFormatting sqref="S62:T62">
    <cfRule type="containsText" dxfId="159" priority="14" operator="containsText" text="n/a">
      <formula>NOT(ISERROR(SEARCH("n/a",S62)))</formula>
    </cfRule>
  </conditionalFormatting>
  <conditionalFormatting sqref="S70:T70">
    <cfRule type="containsText" dxfId="158" priority="26" operator="containsText" text="n/a">
      <formula>NOT(ISERROR(SEARCH("n/a",S70)))</formula>
    </cfRule>
  </conditionalFormatting>
  <conditionalFormatting sqref="S72:T72">
    <cfRule type="containsText" dxfId="157" priority="30" operator="containsText" text="n/a">
      <formula>NOT(ISERROR(SEARCH("n/a",S72)))</formula>
    </cfRule>
  </conditionalFormatting>
  <conditionalFormatting sqref="S74:T74">
    <cfRule type="containsText" dxfId="156" priority="27" operator="containsText" text="n/a">
      <formula>NOT(ISERROR(SEARCH("n/a",S74)))</formula>
    </cfRule>
  </conditionalFormatting>
  <conditionalFormatting sqref="T36:T39">
    <cfRule type="containsText" dxfId="155" priority="43" operator="containsText" text="Rate">
      <formula>NOT(ISERROR(SEARCH("Rate",T36)))</formula>
    </cfRule>
    <cfRule type="expression" dxfId="154" priority="44">
      <formula>Output_NetPrice_JM &lt; 99</formula>
    </cfRule>
    <cfRule type="expression" dxfId="153" priority="45">
      <formula>Output_NetPrice_ExpNR &lt; 99</formula>
    </cfRule>
  </conditionalFormatting>
  <conditionalFormatting sqref="T12:T34">
    <cfRule type="expression" dxfId="152" priority="12">
      <formula>T12&lt;0</formula>
    </cfRule>
  </conditionalFormatting>
  <conditionalFormatting sqref="T12:T35">
    <cfRule type="containsErrors" dxfId="151" priority="11">
      <formula>ISERROR(T12)</formula>
    </cfRule>
  </conditionalFormatting>
  <conditionalFormatting sqref="Q42:Q46">
    <cfRule type="containsText" dxfId="150" priority="8" operator="containsText" text="Rate">
      <formula>NOT(ISERROR(SEARCH("Rate",Q42)))</formula>
    </cfRule>
    <cfRule type="expression" dxfId="149" priority="9">
      <formula>Output_NetPrice_JM &lt; 99</formula>
    </cfRule>
    <cfRule type="expression" dxfId="148" priority="10">
      <formula>Output_NetPrice_ExpNR &lt; 99</formula>
    </cfRule>
  </conditionalFormatting>
  <conditionalFormatting sqref="S43:S45">
    <cfRule type="containsText" dxfId="147" priority="5" operator="containsText" text="Rate">
      <formula>NOT(ISERROR(SEARCH("Rate",S43)))</formula>
    </cfRule>
    <cfRule type="expression" dxfId="146" priority="6">
      <formula>Output_NetPrice_JM &lt; 99</formula>
    </cfRule>
    <cfRule type="expression" dxfId="145" priority="7">
      <formula>Output_NetPrice_ExpNR &lt; 99</formula>
    </cfRule>
  </conditionalFormatting>
  <conditionalFormatting sqref="T44:T45">
    <cfRule type="containsText" dxfId="144" priority="2" operator="containsText" text="Rate">
      <formula>NOT(ISERROR(SEARCH("Rate",T44)))</formula>
    </cfRule>
    <cfRule type="expression" dxfId="143" priority="3">
      <formula>Output_NetPrice_JM &lt; 99</formula>
    </cfRule>
    <cfRule type="expression" dxfId="142" priority="4">
      <formula>Output_NetPrice_ExpNR &lt; 99</formula>
    </cfRule>
  </conditionalFormatting>
  <conditionalFormatting sqref="Q78">
    <cfRule type="containsText" dxfId="141" priority="1" operator="containsText" text="n/a">
      <formula>NOT(ISERROR(SEARCH("n/a",Q78)))</formula>
    </cfRule>
  </conditionalFormatting>
  <hyperlinks>
    <hyperlink ref="B70:D70" r:id="rId1" display="Click Here" xr:uid="{B99072E3-E97C-4A6A-B887-95DF864C7714}"/>
  </hyperlinks>
  <pageMargins left="0.25" right="0.25" top="0.75" bottom="0.75" header="0.3" footer="0.3"/>
  <pageSetup paperSize="3" scale="36" orientation="landscape" r:id="rId2"/>
  <drawing r:id="rId3"/>
  <extLst>
    <ext xmlns:x14="http://schemas.microsoft.com/office/spreadsheetml/2009/9/main" uri="{CCE6A557-97BC-4b89-ADB6-D9C93CAAB3DF}">
      <x14:dataValidations xmlns:xm="http://schemas.microsoft.com/office/excel/2006/main" count="24">
        <x14:dataValidation type="list" allowBlank="1" showInputMessage="1" showErrorMessage="1" xr:uid="{C5CA8A47-A3B9-4BDE-B5D4-DD8A1B65AC2E}">
          <x14:formula1>
            <xm:f>'Feed(DSCR)'!$N$81:$N$121</xm:f>
          </x14:formula1>
          <xm:sqref>S10</xm:sqref>
        </x14:dataValidation>
        <x14:dataValidation type="list" allowBlank="1" showInputMessage="1" showErrorMessage="1" xr:uid="{309AB37D-2746-4350-926F-6B5495CECECE}">
          <x14:formula1>
            <xm:f>'Feed(DSCR)'!$B$2:$B$11</xm:f>
          </x14:formula1>
          <xm:sqref>S11</xm:sqref>
        </x14:dataValidation>
        <x14:dataValidation type="list" allowBlank="1" showInputMessage="1" showErrorMessage="1" xr:uid="{0251A438-8DDC-47C3-B1D1-4B04FBBCA4F4}">
          <x14:formula1>
            <xm:f>'Feed(DSCR)'!$A$2:$A$12</xm:f>
          </x14:formula1>
          <xm:sqref>S12</xm:sqref>
        </x14:dataValidation>
        <x14:dataValidation type="list" allowBlank="1" showInputMessage="1" showErrorMessage="1" xr:uid="{41F76A17-2C8A-4A94-B8D4-B2DF8D93F693}">
          <x14:formula1>
            <xm:f>'Feed(DSCR)'!$C$5:$C$10</xm:f>
          </x14:formula1>
          <xm:sqref>S13</xm:sqref>
        </x14:dataValidation>
        <x14:dataValidation type="list" allowBlank="1" showInputMessage="1" showErrorMessage="1" xr:uid="{5B38CBF7-9B83-468E-BA5B-B3D57BC84D2B}">
          <x14:formula1>
            <xm:f>'Feed(DSCR)'!$C$14:$C$18</xm:f>
          </x14:formula1>
          <xm:sqref>S14</xm:sqref>
        </x14:dataValidation>
        <x14:dataValidation type="list" allowBlank="1" showInputMessage="1" showErrorMessage="1" xr:uid="{F4C47971-B0A9-4070-8578-11F1C1BFF722}">
          <x14:formula1>
            <xm:f>'Feed(DSCR)'!$D$14:$D$20</xm:f>
          </x14:formula1>
          <xm:sqref>S15</xm:sqref>
        </x14:dataValidation>
        <x14:dataValidation type="list" allowBlank="1" showInputMessage="1" showErrorMessage="1" xr:uid="{7C543667-3EB6-46F1-AD8D-BFE7E4AD7193}">
          <x14:formula1>
            <xm:f>'Feed(DSCR)'!$E$14:$E$19</xm:f>
          </x14:formula1>
          <xm:sqref>S16</xm:sqref>
        </x14:dataValidation>
        <x14:dataValidation type="list" allowBlank="1" showInputMessage="1" showErrorMessage="1" xr:uid="{8366EF10-285A-4D56-BC79-2857DC220356}">
          <x14:formula1>
            <xm:f>'Feed(DSCR)'!$E$2:$E$9</xm:f>
          </x14:formula1>
          <xm:sqref>S18</xm:sqref>
        </x14:dataValidation>
        <x14:dataValidation type="list" allowBlank="1" showInputMessage="1" showErrorMessage="1" xr:uid="{4C1A9CFE-2987-4D45-B65B-23DB804C6ADC}">
          <x14:formula1>
            <xm:f>'Feed(DSCR)'!$P$2:$P$7</xm:f>
          </x14:formula1>
          <xm:sqref>S19</xm:sqref>
        </x14:dataValidation>
        <x14:dataValidation type="list" allowBlank="1" showInputMessage="1" showErrorMessage="1" xr:uid="{AD1F8782-6508-4E71-8005-1EB4FC07AB9B}">
          <x14:formula1>
            <xm:f>'Feed(DSCR)'!$J$2:$J$7</xm:f>
          </x14:formula1>
          <xm:sqref>S21</xm:sqref>
        </x14:dataValidation>
        <x14:dataValidation type="list" allowBlank="1" showInputMessage="1" showErrorMessage="1" xr:uid="{D5585580-4954-4E07-BFA5-685FB9A8853E}">
          <x14:formula1>
            <xm:f>'Feed(DSCR)'!$L$6:$L$7</xm:f>
          </x14:formula1>
          <xm:sqref>S23</xm:sqref>
        </x14:dataValidation>
        <x14:dataValidation type="list" allowBlank="1" showInputMessage="1" showErrorMessage="1" xr:uid="{F79011DC-6F49-41B0-9071-C999C664DDDE}">
          <x14:formula1>
            <xm:f>'Feed(DSCR)'!$M$2:$M$13</xm:f>
          </x14:formula1>
          <xm:sqref>S25</xm:sqref>
        </x14:dataValidation>
        <x14:dataValidation type="list" allowBlank="1" showInputMessage="1" showErrorMessage="1" xr:uid="{D0D3414A-D060-4DF4-AEC2-FABED60AB835}">
          <x14:formula1>
            <xm:f>'Feed(DSCR)'!$I$2:$I$4</xm:f>
          </x14:formula1>
          <xm:sqref>S26</xm:sqref>
        </x14:dataValidation>
        <x14:dataValidation type="list" allowBlank="1" showInputMessage="1" showErrorMessage="1" xr:uid="{DE104B06-0350-4A27-9C83-AF92594A98F3}">
          <x14:formula1>
            <xm:f>'Feed(DSCR)'!$H$2:$H$14</xm:f>
          </x14:formula1>
          <xm:sqref>S27</xm:sqref>
        </x14:dataValidation>
        <x14:dataValidation type="list" allowBlank="1" showInputMessage="1" showErrorMessage="1" xr:uid="{DAAE3D8B-F3C1-42B0-993D-39711CEC7644}">
          <x14:formula1>
            <xm:f>'Feed(DSCR)'!$J$14:$J$16</xm:f>
          </x14:formula1>
          <xm:sqref>S28</xm:sqref>
        </x14:dataValidation>
        <x14:dataValidation type="list" allowBlank="1" showInputMessage="1" showErrorMessage="1" xr:uid="{FC19B3CC-4B9D-43BD-97D6-00813E263F04}">
          <x14:formula1>
            <xm:f>'Feed(DSCR)'!$T$2:$T$17</xm:f>
          </x14:formula1>
          <xm:sqref>S29</xm:sqref>
        </x14:dataValidation>
        <x14:dataValidation type="list" allowBlank="1" showInputMessage="1" showErrorMessage="1" xr:uid="{75FAD87D-F906-4794-9833-9C7BAAE4E110}">
          <x14:formula1>
            <xm:f>'Feed(DSCR)'!$N$2:$N$6</xm:f>
          </x14:formula1>
          <xm:sqref>S30</xm:sqref>
        </x14:dataValidation>
        <x14:dataValidation type="list" allowBlank="1" showInputMessage="1" showErrorMessage="1" xr:uid="{AB5B4BA8-F3B4-4D3F-8514-7269033D7E48}">
          <x14:formula1>
            <xm:f>'Feed(DSCR)'!$R$2:$R$5</xm:f>
          </x14:formula1>
          <xm:sqref>S31</xm:sqref>
        </x14:dataValidation>
        <x14:dataValidation type="list" allowBlank="1" showInputMessage="1" showErrorMessage="1" xr:uid="{9D178D43-CFA8-43E8-8721-51EBB7430A23}">
          <x14:formula1>
            <xm:f>'Feed(DSCR)'!$S$2:$S$4</xm:f>
          </x14:formula1>
          <xm:sqref>S32</xm:sqref>
        </x14:dataValidation>
        <x14:dataValidation type="list" allowBlank="1" showInputMessage="1" showErrorMessage="1" xr:uid="{C3B29A2F-A2FD-4BE4-856B-944D32B7D2D9}">
          <x14:formula1>
            <xm:f>'Feed(DSCR)'!$G$2:$G$12</xm:f>
          </x14:formula1>
          <xm:sqref>S20</xm:sqref>
        </x14:dataValidation>
        <x14:dataValidation type="list" allowBlank="1" showInputMessage="1" showErrorMessage="1" xr:uid="{782DA9D4-8803-4812-BEFB-3AB27200833D}">
          <x14:formula1>
            <xm:f>'Feed(DSCR)'!$G$15:$G$17</xm:f>
          </x14:formula1>
          <xm:sqref>S22</xm:sqref>
        </x14:dataValidation>
        <x14:dataValidation type="list" allowBlank="1" showInputMessage="1" showErrorMessage="1" xr:uid="{535519DB-BFFD-4FD8-A089-0C933C7A246E}">
          <x14:formula1>
            <xm:f>'Feed(DSCR)'!$K$2:$K$10</xm:f>
          </x14:formula1>
          <xm:sqref>S24</xm:sqref>
        </x14:dataValidation>
        <x14:dataValidation type="list" allowBlank="1" showInputMessage="1" showErrorMessage="1" xr:uid="{4BFE2B56-2500-4617-8A20-B0B215AA5865}">
          <x14:formula1>
            <xm:f>'Feed(DSCR)'!$D$2:$D$4</xm:f>
          </x14:formula1>
          <xm:sqref>S17</xm:sqref>
        </x14:dataValidation>
        <x14:dataValidation type="list" allowBlank="1" showInputMessage="1" showErrorMessage="1" xr:uid="{2E82EDCE-1C8A-45F0-AF44-8FFC7855C2C2}">
          <x14:formula1>
            <xm:f>'Feed(DSCR)'!$T$160:$T$163</xm:f>
          </x14:formula1>
          <xm:sqref>S34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105728-4680-4908-99E5-3060DA0BB1C6}">
  <sheetPr codeName="Sheet18">
    <tabColor theme="4" tint="-0.499984740745262"/>
  </sheetPr>
  <dimension ref="A1:X186"/>
  <sheetViews>
    <sheetView showGridLines="0" zoomScaleNormal="100" workbookViewId="0"/>
  </sheetViews>
  <sheetFormatPr defaultColWidth="9.140625" defaultRowHeight="15" x14ac:dyDescent="0.25"/>
  <cols>
    <col min="1" max="1" width="2.7109375" style="1" customWidth="1"/>
    <col min="2" max="2" width="16.7109375" style="1" customWidth="1"/>
    <col min="3" max="3" width="19.42578125" style="1" customWidth="1"/>
    <col min="4" max="4" width="3" style="1" customWidth="1"/>
    <col min="5" max="10" width="17.7109375" style="1" customWidth="1"/>
    <col min="11" max="11" width="1.5703125" style="1" customWidth="1"/>
    <col min="12" max="12" width="1.7109375" style="1" customWidth="1"/>
    <col min="13" max="13" width="19.85546875" style="1" customWidth="1"/>
    <col min="14" max="14" width="17" style="1" customWidth="1"/>
    <col min="15" max="15" width="21.7109375" style="1" customWidth="1"/>
    <col min="16" max="16" width="29" style="1" customWidth="1"/>
    <col min="17" max="17" width="1.140625" style="1" customWidth="1"/>
    <col min="18" max="18" width="9.140625" style="1"/>
    <col min="19" max="19" width="9.42578125" style="1" customWidth="1"/>
    <col min="20" max="20" width="17.140625" style="1" customWidth="1"/>
    <col min="21" max="16384" width="9.140625" style="1"/>
  </cols>
  <sheetData>
    <row r="1" spans="1:24" ht="17.45" customHeight="1" x14ac:dyDescent="0.25">
      <c r="A1"/>
      <c r="B1"/>
      <c r="C1"/>
      <c r="D1"/>
      <c r="E1"/>
      <c r="G1" s="2"/>
      <c r="H1" s="2"/>
      <c r="I1" s="2"/>
      <c r="J1" s="542" t="s">
        <v>0</v>
      </c>
      <c r="K1" s="2"/>
      <c r="L1" s="2"/>
      <c r="M1" s="2"/>
      <c r="N1" s="2"/>
      <c r="O1" s="2"/>
      <c r="P1" s="3"/>
    </row>
    <row r="2" spans="1:24" ht="17.45" customHeight="1" x14ac:dyDescent="0.25">
      <c r="A2"/>
      <c r="B2"/>
      <c r="C2"/>
      <c r="D2"/>
      <c r="E2"/>
      <c r="G2" s="4"/>
      <c r="H2" s="4"/>
      <c r="I2" s="4"/>
      <c r="J2" s="543" t="s">
        <v>1</v>
      </c>
      <c r="K2" s="4"/>
      <c r="L2" s="4"/>
      <c r="M2" s="4"/>
      <c r="N2" s="2"/>
      <c r="O2" s="2"/>
      <c r="P2" s="3"/>
    </row>
    <row r="3" spans="1:24" ht="17.45" customHeight="1" x14ac:dyDescent="0.25">
      <c r="A3"/>
      <c r="B3"/>
      <c r="C3"/>
      <c r="D3"/>
      <c r="E3"/>
      <c r="G3" s="4"/>
      <c r="H3" s="4"/>
      <c r="I3" s="4"/>
      <c r="J3" s="543" t="s">
        <v>2</v>
      </c>
      <c r="K3" s="4"/>
      <c r="L3" s="4"/>
      <c r="M3" s="4"/>
      <c r="N3" s="4"/>
      <c r="O3" s="4"/>
    </row>
    <row r="4" spans="1:24" ht="17.45" customHeight="1" x14ac:dyDescent="0.25">
      <c r="B4"/>
      <c r="C4"/>
      <c r="E4" s="5"/>
      <c r="F4" s="104"/>
      <c r="G4" s="7"/>
      <c r="H4" s="7"/>
      <c r="I4" s="7"/>
      <c r="J4" s="7"/>
      <c r="K4" s="7"/>
      <c r="L4" s="7"/>
      <c r="M4" s="4"/>
      <c r="N4" s="4"/>
      <c r="O4" s="4"/>
    </row>
    <row r="5" spans="1:24" ht="17.45" customHeight="1" thickBot="1" x14ac:dyDescent="0.3">
      <c r="B5" s="516">
        <f ca="1">TODAY()</f>
        <v>46251</v>
      </c>
      <c r="C5" s="512"/>
      <c r="G5" s="9"/>
      <c r="H5" s="9"/>
      <c r="I5" s="545" t="s">
        <v>3</v>
      </c>
      <c r="J5" s="117">
        <v>46223</v>
      </c>
      <c r="K5" s="117"/>
      <c r="L5" s="117"/>
      <c r="M5" s="496"/>
      <c r="N5" s="3"/>
      <c r="O5" s="3"/>
    </row>
    <row r="6" spans="1:24" ht="17.45" customHeight="1" x14ac:dyDescent="0.25">
      <c r="A6" s="520"/>
      <c r="B6" s="770" t="s">
        <v>4</v>
      </c>
      <c r="C6" s="772"/>
      <c r="D6" s="521"/>
      <c r="E6" s="670" t="s">
        <v>900</v>
      </c>
      <c r="F6" s="671"/>
      <c r="G6" s="671"/>
      <c r="H6" s="671"/>
      <c r="I6" s="671"/>
      <c r="J6" s="672"/>
      <c r="K6" s="522"/>
      <c r="L6" s="523"/>
      <c r="M6" s="676" t="s">
        <v>901</v>
      </c>
      <c r="N6" s="677"/>
      <c r="O6" s="677"/>
      <c r="P6" s="678"/>
      <c r="Q6" s="523"/>
    </row>
    <row r="7" spans="1:24" ht="17.45" customHeight="1" x14ac:dyDescent="0.25">
      <c r="A7" s="11"/>
      <c r="B7" s="619"/>
      <c r="C7" s="787"/>
      <c r="D7" s="13"/>
      <c r="E7" s="673"/>
      <c r="F7" s="674"/>
      <c r="G7" s="674"/>
      <c r="H7" s="674"/>
      <c r="I7" s="674"/>
      <c r="J7" s="675"/>
      <c r="K7" s="12"/>
      <c r="L7" s="14"/>
      <c r="M7" s="679"/>
      <c r="N7" s="680"/>
      <c r="O7" s="680"/>
      <c r="P7" s="681"/>
      <c r="Q7" s="14"/>
    </row>
    <row r="8" spans="1:24" ht="15.75" customHeight="1" x14ac:dyDescent="0.25">
      <c r="A8" s="11"/>
      <c r="B8" s="621"/>
      <c r="C8" s="788"/>
      <c r="D8" s="14"/>
      <c r="E8" s="443"/>
      <c r="F8" s="444"/>
      <c r="G8" s="444"/>
      <c r="H8" s="444"/>
      <c r="I8" s="444"/>
      <c r="J8" s="442"/>
      <c r="K8" s="14"/>
      <c r="L8" s="14"/>
      <c r="M8" s="443"/>
      <c r="N8" s="444"/>
      <c r="O8" s="444"/>
      <c r="P8" s="442"/>
      <c r="Q8" s="11"/>
    </row>
    <row r="9" spans="1:24" ht="15.75" x14ac:dyDescent="0.25">
      <c r="A9" s="11"/>
      <c r="B9" s="623" t="s">
        <v>7</v>
      </c>
      <c r="C9" s="789"/>
      <c r="D9" s="14"/>
      <c r="E9" s="682" t="s">
        <v>8</v>
      </c>
      <c r="F9" s="683"/>
      <c r="G9" s="683"/>
      <c r="H9" s="683"/>
      <c r="I9" s="683"/>
      <c r="J9" s="684"/>
      <c r="K9" s="18"/>
      <c r="L9" s="14"/>
      <c r="M9" s="19"/>
      <c r="N9" s="20"/>
      <c r="O9" s="21" t="s">
        <v>9</v>
      </c>
      <c r="P9" s="22"/>
      <c r="Q9" s="14"/>
    </row>
    <row r="10" spans="1:24" ht="15.75" customHeight="1" x14ac:dyDescent="0.25">
      <c r="A10" s="11"/>
      <c r="B10" s="445" t="s">
        <v>10</v>
      </c>
      <c r="C10" s="446" t="s">
        <v>210</v>
      </c>
      <c r="D10" s="14"/>
      <c r="E10" s="685" t="s">
        <v>12</v>
      </c>
      <c r="F10" s="686"/>
      <c r="G10" s="447" t="s">
        <v>13</v>
      </c>
      <c r="H10" s="447" t="s">
        <v>14</v>
      </c>
      <c r="I10" s="447" t="s">
        <v>15</v>
      </c>
      <c r="J10" s="446" t="s">
        <v>16</v>
      </c>
      <c r="K10" s="26"/>
      <c r="L10" s="14"/>
      <c r="M10" s="661" t="s">
        <v>22</v>
      </c>
      <c r="N10" s="662"/>
      <c r="O10" s="27">
        <v>0</v>
      </c>
      <c r="P10" s="362"/>
      <c r="Q10" s="14"/>
    </row>
    <row r="11" spans="1:24" ht="14.25" customHeight="1" x14ac:dyDescent="0.25">
      <c r="A11" s="11"/>
      <c r="B11" s="28">
        <v>7.5</v>
      </c>
      <c r="C11" s="515">
        <v>96.5</v>
      </c>
      <c r="D11" s="14"/>
      <c r="E11" s="663" t="s">
        <v>902</v>
      </c>
      <c r="F11" s="664">
        <v>0</v>
      </c>
      <c r="G11" s="29">
        <v>1</v>
      </c>
      <c r="H11" s="29">
        <v>0.75</v>
      </c>
      <c r="I11" s="29">
        <v>0.5</v>
      </c>
      <c r="J11" s="30">
        <v>0.25</v>
      </c>
      <c r="K11" s="31"/>
      <c r="L11" s="14"/>
      <c r="M11" s="627" t="s">
        <v>24</v>
      </c>
      <c r="N11" s="628"/>
      <c r="O11" s="32" t="s">
        <v>32</v>
      </c>
      <c r="P11" s="362"/>
      <c r="Q11" s="14"/>
      <c r="R11" s="33"/>
      <c r="S11" s="33"/>
      <c r="T11" s="33"/>
      <c r="U11" s="33"/>
      <c r="V11" s="33"/>
      <c r="W11" s="33"/>
      <c r="X11" s="33"/>
    </row>
    <row r="12" spans="1:24" x14ac:dyDescent="0.25">
      <c r="A12" s="11"/>
      <c r="B12" s="28">
        <v>7.625</v>
      </c>
      <c r="C12" s="515">
        <v>96.875</v>
      </c>
      <c r="D12" s="14"/>
      <c r="E12" s="629" t="s">
        <v>43</v>
      </c>
      <c r="F12" s="630">
        <v>0</v>
      </c>
      <c r="G12" s="35">
        <v>0.75</v>
      </c>
      <c r="H12" s="35">
        <v>0.5</v>
      </c>
      <c r="I12" s="29">
        <v>0.25</v>
      </c>
      <c r="J12" s="36">
        <v>0</v>
      </c>
      <c r="K12" s="31"/>
      <c r="L12" s="14"/>
      <c r="M12" s="627" t="s">
        <v>26</v>
      </c>
      <c r="N12" s="628"/>
      <c r="O12" s="32" t="s">
        <v>32</v>
      </c>
      <c r="P12" s="362" t="b">
        <f>IF(ISNUMBER(MATCH($O$11,'Feed(CoreFlex)'!$B$3:$B$11,0)),INDEX($G$11:$J$16,MATCH($O$12,$E$11:$E$16,0),MATCH($O$11,$G$10:$J$10,0)))</f>
        <v>0</v>
      </c>
      <c r="Q12" s="14"/>
      <c r="R12" s="33"/>
      <c r="S12" s="33"/>
      <c r="T12" s="33"/>
      <c r="U12" s="33"/>
      <c r="V12" s="33"/>
      <c r="W12" s="33"/>
      <c r="X12" s="33"/>
    </row>
    <row r="13" spans="1:24" ht="15.75" customHeight="1" x14ac:dyDescent="0.25">
      <c r="A13" s="11"/>
      <c r="B13" s="28">
        <v>7.75</v>
      </c>
      <c r="C13" s="515">
        <v>97.25</v>
      </c>
      <c r="D13" s="14"/>
      <c r="E13" s="629" t="s">
        <v>45</v>
      </c>
      <c r="F13" s="630">
        <v>0</v>
      </c>
      <c r="G13" s="35">
        <v>0.5</v>
      </c>
      <c r="H13" s="35">
        <v>0.25</v>
      </c>
      <c r="I13" s="29">
        <v>0</v>
      </c>
      <c r="J13" s="36">
        <v>-0.25</v>
      </c>
      <c r="K13" s="31"/>
      <c r="L13" s="14"/>
      <c r="M13" s="627" t="s">
        <v>28</v>
      </c>
      <c r="N13" s="628"/>
      <c r="O13" s="32" t="s">
        <v>32</v>
      </c>
      <c r="P13" s="362">
        <v>0</v>
      </c>
      <c r="Q13" s="14"/>
      <c r="R13" s="33"/>
      <c r="S13" s="33"/>
      <c r="T13" s="33"/>
      <c r="U13" s="33"/>
      <c r="V13" s="33"/>
      <c r="W13" s="33"/>
      <c r="X13" s="33"/>
    </row>
    <row r="14" spans="1:24" ht="15.75" customHeight="1" x14ac:dyDescent="0.25">
      <c r="A14" s="11"/>
      <c r="B14" s="28">
        <v>7.875</v>
      </c>
      <c r="C14" s="515">
        <v>97.625</v>
      </c>
      <c r="D14" s="14"/>
      <c r="E14" s="629" t="s">
        <v>903</v>
      </c>
      <c r="F14" s="630">
        <v>0</v>
      </c>
      <c r="G14" s="35">
        <v>0</v>
      </c>
      <c r="H14" s="35">
        <v>-0.25</v>
      </c>
      <c r="I14" s="29">
        <v>-0.5</v>
      </c>
      <c r="J14" s="36">
        <v>-1</v>
      </c>
      <c r="K14" s="31"/>
      <c r="L14" s="14"/>
      <c r="M14" s="627" t="s">
        <v>31</v>
      </c>
      <c r="N14" s="628"/>
      <c r="O14" s="32" t="s">
        <v>32</v>
      </c>
      <c r="P14" s="384">
        <f>IF(OR(O14="",O10=""),"",IF(O14="&lt; 6 Months",NA(),0))</f>
        <v>0</v>
      </c>
      <c r="Q14" s="14"/>
      <c r="R14" s="33"/>
      <c r="S14" s="33"/>
      <c r="T14" s="33"/>
      <c r="U14" s="33"/>
      <c r="V14" s="33"/>
      <c r="W14" s="33"/>
      <c r="X14" s="33"/>
    </row>
    <row r="15" spans="1:24" x14ac:dyDescent="0.25">
      <c r="A15" s="11"/>
      <c r="B15" s="28">
        <v>8</v>
      </c>
      <c r="C15" s="515">
        <v>98</v>
      </c>
      <c r="D15" s="14"/>
      <c r="E15" s="629" t="s">
        <v>904</v>
      </c>
      <c r="F15" s="630">
        <v>0</v>
      </c>
      <c r="G15" s="35">
        <v>-0.25</v>
      </c>
      <c r="H15" s="35">
        <v>-0.375</v>
      </c>
      <c r="I15" s="29">
        <v>-0.75</v>
      </c>
      <c r="J15" s="36">
        <v>-1.25</v>
      </c>
      <c r="K15" s="31"/>
      <c r="L15" s="14"/>
      <c r="M15" s="627" t="s">
        <v>34</v>
      </c>
      <c r="N15" s="628"/>
      <c r="O15" s="32" t="s">
        <v>32</v>
      </c>
      <c r="P15" s="362" t="e">
        <f>IF(OR($O$11="", $O$15=""),"",INDEX($G$33:$J$34,MATCH($O$15,$E$33:$E$34,0),MATCH($O$11,$G$10:$J$10,0)))</f>
        <v>#N/A</v>
      </c>
      <c r="Q15" s="14"/>
      <c r="R15" s="33"/>
      <c r="S15" s="33"/>
      <c r="T15" s="33"/>
      <c r="U15" s="33"/>
      <c r="V15" s="33"/>
      <c r="W15" s="33"/>
      <c r="X15" s="33"/>
    </row>
    <row r="16" spans="1:24" ht="14.25" customHeight="1" x14ac:dyDescent="0.25">
      <c r="A16" s="11"/>
      <c r="B16" s="28">
        <v>8.125</v>
      </c>
      <c r="C16" s="515">
        <v>98.375</v>
      </c>
      <c r="D16" s="14"/>
      <c r="E16" s="629" t="s">
        <v>905</v>
      </c>
      <c r="F16" s="630">
        <v>0</v>
      </c>
      <c r="G16" s="35">
        <v>-0.5</v>
      </c>
      <c r="H16" s="35">
        <v>-0.625</v>
      </c>
      <c r="I16" s="29">
        <v>-1</v>
      </c>
      <c r="J16" s="36">
        <v>-1.5</v>
      </c>
      <c r="K16" s="31"/>
      <c r="L16" s="14"/>
      <c r="M16" s="627" t="s">
        <v>37</v>
      </c>
      <c r="N16" s="628"/>
      <c r="O16" s="32" t="s">
        <v>32</v>
      </c>
      <c r="P16" s="362" t="e">
        <f>IF(OR($O$11="",$O$16="",$O$16="NONE"),0,NA())</f>
        <v>#N/A</v>
      </c>
      <c r="Q16" s="14"/>
      <c r="R16" s="33"/>
      <c r="S16" s="33"/>
      <c r="T16" s="33"/>
      <c r="U16" s="33"/>
      <c r="V16" s="33"/>
      <c r="W16" s="33"/>
      <c r="X16" s="33"/>
    </row>
    <row r="17" spans="1:20" ht="15.75" x14ac:dyDescent="0.25">
      <c r="A17" s="11"/>
      <c r="B17" s="28">
        <v>8.25</v>
      </c>
      <c r="C17" s="515">
        <v>98.75</v>
      </c>
      <c r="D17" s="14"/>
      <c r="E17" s="682"/>
      <c r="F17" s="683"/>
      <c r="G17" s="683"/>
      <c r="H17" s="683"/>
      <c r="I17" s="683"/>
      <c r="J17" s="684"/>
      <c r="K17" s="31"/>
      <c r="L17" s="14"/>
      <c r="M17" s="627" t="s">
        <v>40</v>
      </c>
      <c r="N17" s="628"/>
      <c r="O17" s="32" t="s">
        <v>210</v>
      </c>
      <c r="P17" s="362">
        <v>0</v>
      </c>
      <c r="Q17" s="14"/>
      <c r="R17" s="33"/>
      <c r="S17" s="33"/>
      <c r="T17" s="33"/>
    </row>
    <row r="18" spans="1:20" ht="15.75" x14ac:dyDescent="0.25">
      <c r="A18" s="11"/>
      <c r="B18" s="28">
        <v>8.375</v>
      </c>
      <c r="C18" s="515">
        <v>99.125</v>
      </c>
      <c r="D18" s="14"/>
      <c r="E18" s="524"/>
      <c r="F18" s="525"/>
      <c r="G18" s="525"/>
      <c r="H18" s="525"/>
      <c r="I18" s="525"/>
      <c r="J18" s="526"/>
      <c r="K18" s="31"/>
      <c r="L18" s="14"/>
      <c r="M18" s="627" t="s">
        <v>42</v>
      </c>
      <c r="N18" s="628"/>
      <c r="O18" s="32" t="s">
        <v>32</v>
      </c>
      <c r="P18" s="362">
        <v>0</v>
      </c>
      <c r="Q18" s="14"/>
      <c r="R18" s="33"/>
      <c r="S18" s="33"/>
      <c r="T18" s="33"/>
    </row>
    <row r="19" spans="1:20" ht="15.75" customHeight="1" x14ac:dyDescent="0.25">
      <c r="A19" s="11"/>
      <c r="B19" s="28">
        <v>8.5</v>
      </c>
      <c r="C19" s="515">
        <v>99.5</v>
      </c>
      <c r="D19" s="14"/>
      <c r="E19" s="658" t="s">
        <v>48</v>
      </c>
      <c r="F19" s="659"/>
      <c r="G19" s="659"/>
      <c r="H19" s="659"/>
      <c r="I19" s="659"/>
      <c r="J19" s="660"/>
      <c r="K19" s="31"/>
      <c r="L19" s="14"/>
      <c r="M19" s="627" t="s">
        <v>593</v>
      </c>
      <c r="N19" s="628"/>
      <c r="O19" s="32" t="s">
        <v>32</v>
      </c>
      <c r="P19" s="362" t="e">
        <f>IF(OR($O$11="",$O$19=""),"",IF(O19="US Citizen",0,INDEX($G$36:$J$36,MATCH($O$19,E36,0),MATCH($O$11,$G$10:$J$10,0))))</f>
        <v>#N/A</v>
      </c>
      <c r="Q19" s="14"/>
      <c r="R19" s="33"/>
      <c r="S19" s="33"/>
      <c r="T19" s="33"/>
    </row>
    <row r="20" spans="1:20" ht="15.75" customHeight="1" x14ac:dyDescent="0.25">
      <c r="A20" s="11"/>
      <c r="B20" s="28">
        <v>8.625</v>
      </c>
      <c r="C20" s="515">
        <v>99.875</v>
      </c>
      <c r="D20" s="14"/>
      <c r="E20" s="631" t="s">
        <v>69</v>
      </c>
      <c r="F20" s="632">
        <v>0</v>
      </c>
      <c r="G20" s="44">
        <v>0</v>
      </c>
      <c r="H20" s="44">
        <v>0</v>
      </c>
      <c r="I20" s="44">
        <v>0</v>
      </c>
      <c r="J20" s="45">
        <v>0</v>
      </c>
      <c r="K20" s="31"/>
      <c r="L20" s="14"/>
      <c r="M20" s="627" t="s">
        <v>46</v>
      </c>
      <c r="N20" s="628"/>
      <c r="O20" s="32" t="s">
        <v>32</v>
      </c>
      <c r="P20" s="362" t="e">
        <f>IF(O20="DTI ≤40%",0,IF(OR($O$11="",$O$20=""),"",INDEX($G$37:$J$37,MATCH($O$20,E37,0),MATCH($O$11,$G$10:$J$10,0))))</f>
        <v>#N/A</v>
      </c>
      <c r="Q20" s="14"/>
      <c r="R20" s="33"/>
      <c r="S20" s="33"/>
      <c r="T20" s="33"/>
    </row>
    <row r="21" spans="1:20" ht="15.75" customHeight="1" x14ac:dyDescent="0.25">
      <c r="A21" s="11"/>
      <c r="B21" s="28">
        <v>8.75</v>
      </c>
      <c r="C21" s="515">
        <v>100.25</v>
      </c>
      <c r="D21" s="14"/>
      <c r="E21" s="631" t="s">
        <v>71</v>
      </c>
      <c r="F21" s="632">
        <v>0</v>
      </c>
      <c r="G21" s="44">
        <v>-0.25</v>
      </c>
      <c r="H21" s="44">
        <v>-0.25</v>
      </c>
      <c r="I21" s="44">
        <v>-0.25</v>
      </c>
      <c r="J21" s="45">
        <v>-0.25</v>
      </c>
      <c r="K21" s="31"/>
      <c r="L21" s="14"/>
      <c r="M21" s="627" t="s">
        <v>47</v>
      </c>
      <c r="N21" s="628"/>
      <c r="O21" s="32" t="s">
        <v>32</v>
      </c>
      <c r="P21" s="362" t="e">
        <f>IF(OR($O$11="", $O$21=""),"",INDEX($G$24:$J$28,MATCH($O$21,$E$24:$E$28,0),MATCH($O$11,$G$10:$J$10,0)))</f>
        <v>#N/A</v>
      </c>
      <c r="Q21" s="14"/>
      <c r="R21" s="33"/>
      <c r="T21" s="33"/>
    </row>
    <row r="22" spans="1:20" x14ac:dyDescent="0.25">
      <c r="A22" s="11"/>
      <c r="B22" s="28">
        <v>8.875</v>
      </c>
      <c r="C22" s="515">
        <v>100.5</v>
      </c>
      <c r="D22" s="14"/>
      <c r="E22" s="631" t="s">
        <v>73</v>
      </c>
      <c r="F22" s="632">
        <v>0</v>
      </c>
      <c r="G22" s="44">
        <v>-0.5</v>
      </c>
      <c r="H22" s="44">
        <v>-0.5</v>
      </c>
      <c r="I22" s="44">
        <v>-0.5</v>
      </c>
      <c r="J22" s="45" t="e">
        <v>#N/A</v>
      </c>
      <c r="K22" s="14"/>
      <c r="L22" s="14"/>
      <c r="M22" s="627" t="s">
        <v>48</v>
      </c>
      <c r="N22" s="628"/>
      <c r="O22" s="32" t="s">
        <v>32</v>
      </c>
      <c r="P22" s="362" t="e">
        <f>IF(OR($O$11="", $O$22=""),"",INDEX($G$20:$J$22,MATCH($O$22,$E$20:$E$22,0),MATCH($O$11,$G$10:$J$10,0)))</f>
        <v>#N/A</v>
      </c>
      <c r="Q22" s="14"/>
      <c r="T22" s="33"/>
    </row>
    <row r="23" spans="1:20" ht="15.75" customHeight="1" x14ac:dyDescent="0.25">
      <c r="A23" s="11"/>
      <c r="B23" s="28">
        <v>9</v>
      </c>
      <c r="C23" s="515">
        <v>100.75</v>
      </c>
      <c r="D23" s="14"/>
      <c r="E23" s="642" t="s">
        <v>79</v>
      </c>
      <c r="F23" s="643"/>
      <c r="G23" s="643"/>
      <c r="H23" s="643"/>
      <c r="I23" s="643"/>
      <c r="J23" s="644"/>
      <c r="K23" s="14"/>
      <c r="L23" s="14"/>
      <c r="M23" s="627" t="s">
        <v>50</v>
      </c>
      <c r="N23" s="628"/>
      <c r="O23" s="32" t="s">
        <v>214</v>
      </c>
      <c r="P23" s="362">
        <v>0</v>
      </c>
      <c r="Q23" s="14"/>
      <c r="S23" s="46"/>
      <c r="T23" s="33"/>
    </row>
    <row r="24" spans="1:20" ht="15.75" customHeight="1" x14ac:dyDescent="0.25">
      <c r="A24" s="11"/>
      <c r="B24" s="28">
        <v>9.125</v>
      </c>
      <c r="C24" s="515">
        <v>101</v>
      </c>
      <c r="D24" s="14"/>
      <c r="E24" s="631" t="s">
        <v>908</v>
      </c>
      <c r="F24" s="632">
        <v>0</v>
      </c>
      <c r="G24" s="44">
        <v>-0.25</v>
      </c>
      <c r="H24" s="44">
        <v>-0.25</v>
      </c>
      <c r="I24" s="44">
        <v>-0.25</v>
      </c>
      <c r="J24" s="45">
        <v>-0.25</v>
      </c>
      <c r="K24" s="14"/>
      <c r="L24" s="14"/>
      <c r="M24" s="627" t="s">
        <v>51</v>
      </c>
      <c r="N24" s="628"/>
      <c r="O24" s="32" t="s">
        <v>32</v>
      </c>
      <c r="P24" s="362" t="e">
        <f>IF(OR(O24="SFR",O24="PUD"),0,IF(OR($O$11="",$O$24=""),"",INDEX($G$30:$J$31,MATCH($O$24,$E$30:$E$31,0),MATCH($O$11,$G$10:$J$10,0))))</f>
        <v>#N/A</v>
      </c>
      <c r="Q24" s="14"/>
      <c r="S24" s="46"/>
      <c r="T24" s="33"/>
    </row>
    <row r="25" spans="1:20" ht="15.75" customHeight="1" x14ac:dyDescent="0.25">
      <c r="A25" s="11"/>
      <c r="B25" s="28">
        <v>9.25</v>
      </c>
      <c r="C25" s="515">
        <v>101.25</v>
      </c>
      <c r="D25" s="14"/>
      <c r="E25" s="631" t="s">
        <v>777</v>
      </c>
      <c r="F25" s="632">
        <v>0</v>
      </c>
      <c r="G25" s="44">
        <v>0</v>
      </c>
      <c r="H25" s="44">
        <v>0</v>
      </c>
      <c r="I25" s="44">
        <v>0</v>
      </c>
      <c r="J25" s="45">
        <v>0</v>
      </c>
      <c r="K25" s="14"/>
      <c r="L25" s="14"/>
      <c r="M25" s="627" t="s">
        <v>53</v>
      </c>
      <c r="N25" s="628"/>
      <c r="O25" s="32" t="s">
        <v>54</v>
      </c>
      <c r="P25" s="362">
        <v>0</v>
      </c>
      <c r="Q25" s="14"/>
      <c r="T25" s="33"/>
    </row>
    <row r="26" spans="1:20" x14ac:dyDescent="0.25">
      <c r="A26" s="11"/>
      <c r="B26" s="28">
        <v>9.375</v>
      </c>
      <c r="C26" s="515">
        <v>101.5</v>
      </c>
      <c r="D26" s="14"/>
      <c r="E26" s="631" t="s">
        <v>909</v>
      </c>
      <c r="F26" s="632">
        <v>0</v>
      </c>
      <c r="G26" s="44">
        <v>0</v>
      </c>
      <c r="H26" s="44">
        <v>0</v>
      </c>
      <c r="I26" s="44">
        <v>0</v>
      </c>
      <c r="J26" s="45">
        <v>0</v>
      </c>
      <c r="K26" s="14"/>
      <c r="L26" s="14"/>
      <c r="M26" s="627" t="s">
        <v>56</v>
      </c>
      <c r="N26" s="628"/>
      <c r="O26" s="32" t="s">
        <v>32</v>
      </c>
      <c r="P26" s="362">
        <f>IF(O26="Escrow Waived",NA(),0)</f>
        <v>0</v>
      </c>
      <c r="Q26" s="14"/>
      <c r="T26" s="33"/>
    </row>
    <row r="27" spans="1:20" ht="15.75" customHeight="1" x14ac:dyDescent="0.25">
      <c r="A27" s="11"/>
      <c r="B27" s="28">
        <v>9.5</v>
      </c>
      <c r="C27" s="515">
        <v>101.75</v>
      </c>
      <c r="D27" s="14"/>
      <c r="E27" s="631" t="s">
        <v>910</v>
      </c>
      <c r="F27" s="632">
        <v>0</v>
      </c>
      <c r="G27" s="44">
        <v>-0.25</v>
      </c>
      <c r="H27" s="44">
        <v>-0.25</v>
      </c>
      <c r="I27" s="44">
        <v>-0.25</v>
      </c>
      <c r="J27" s="45">
        <v>-0.25</v>
      </c>
      <c r="K27" s="14"/>
      <c r="L27" s="14"/>
      <c r="M27" s="627" t="s">
        <v>59</v>
      </c>
      <c r="N27" s="628"/>
      <c r="O27" s="32"/>
      <c r="P27" s="362">
        <v>0</v>
      </c>
      <c r="Q27" s="14"/>
      <c r="R27" s="3"/>
      <c r="T27" s="33"/>
    </row>
    <row r="28" spans="1:20" ht="15.75" customHeight="1" x14ac:dyDescent="0.25">
      <c r="A28" s="11"/>
      <c r="B28" s="28">
        <v>9.625</v>
      </c>
      <c r="C28" s="515">
        <v>102</v>
      </c>
      <c r="D28" s="14"/>
      <c r="E28" s="638" t="s">
        <v>87</v>
      </c>
      <c r="F28" s="639">
        <v>0</v>
      </c>
      <c r="G28" s="44">
        <v>-0.25</v>
      </c>
      <c r="H28" s="44">
        <v>-0.25</v>
      </c>
      <c r="I28" s="44">
        <v>-0.25</v>
      </c>
      <c r="J28" s="45">
        <v>-0.25</v>
      </c>
      <c r="K28" s="14"/>
      <c r="L28" s="14"/>
      <c r="M28" s="627" t="s">
        <v>61</v>
      </c>
      <c r="N28" s="628"/>
      <c r="O28" s="32"/>
      <c r="P28" s="362">
        <v>0</v>
      </c>
      <c r="Q28" s="14"/>
      <c r="R28" s="3"/>
      <c r="T28" s="33"/>
    </row>
    <row r="29" spans="1:20" x14ac:dyDescent="0.25">
      <c r="A29" s="11"/>
      <c r="B29" s="28">
        <v>9.75</v>
      </c>
      <c r="C29" s="515">
        <v>102.25</v>
      </c>
      <c r="D29" s="14"/>
      <c r="E29" s="642" t="s">
        <v>51</v>
      </c>
      <c r="F29" s="643"/>
      <c r="G29" s="643"/>
      <c r="H29" s="643"/>
      <c r="I29" s="643"/>
      <c r="J29" s="644"/>
      <c r="K29" s="14"/>
      <c r="L29" s="14"/>
      <c r="M29" s="627" t="s">
        <v>63</v>
      </c>
      <c r="N29" s="628"/>
      <c r="O29" s="32" t="s">
        <v>32</v>
      </c>
      <c r="P29" s="362" t="e">
        <f>IF(O29="All Other States",0,NA())</f>
        <v>#N/A</v>
      </c>
      <c r="Q29" s="14"/>
      <c r="R29" s="47"/>
      <c r="T29" s="33"/>
    </row>
    <row r="30" spans="1:20" x14ac:dyDescent="0.25">
      <c r="A30" s="11"/>
      <c r="B30" s="527"/>
      <c r="C30" s="528"/>
      <c r="D30" s="14"/>
      <c r="E30" s="640" t="s">
        <v>915</v>
      </c>
      <c r="F30" s="641">
        <v>0</v>
      </c>
      <c r="G30" s="44">
        <v>0</v>
      </c>
      <c r="H30" s="44">
        <v>0</v>
      </c>
      <c r="I30" s="44">
        <v>0</v>
      </c>
      <c r="J30" s="45">
        <v>0</v>
      </c>
      <c r="K30" s="14"/>
      <c r="L30" s="14"/>
      <c r="M30" s="627" t="s">
        <v>65</v>
      </c>
      <c r="N30" s="628"/>
      <c r="O30" s="48" t="s">
        <v>66</v>
      </c>
      <c r="P30" s="362">
        <f>IF(OR(O30="",O11=""),NA(),IF(OR(O30="15 Day",O30="30 Day"),0,VLOOKUP(O30,$B$42:$C$43,2,FALSE)))</f>
        <v>0</v>
      </c>
      <c r="Q30" s="14"/>
      <c r="T30" s="33"/>
    </row>
    <row r="31" spans="1:20" x14ac:dyDescent="0.25">
      <c r="A31" s="11"/>
      <c r="B31" s="527"/>
      <c r="C31" s="528"/>
      <c r="D31" s="14"/>
      <c r="E31" s="640" t="s">
        <v>911</v>
      </c>
      <c r="F31" s="641">
        <v>0</v>
      </c>
      <c r="G31" s="44">
        <v>-0.25</v>
      </c>
      <c r="H31" s="44">
        <v>-0.25</v>
      </c>
      <c r="I31" s="44">
        <v>-0.25</v>
      </c>
      <c r="J31" s="45">
        <v>-0.25</v>
      </c>
      <c r="K31" s="14"/>
      <c r="L31" s="14"/>
      <c r="M31" s="627" t="s">
        <v>67</v>
      </c>
      <c r="N31" s="628"/>
      <c r="O31" s="48" t="s">
        <v>32</v>
      </c>
      <c r="P31" s="362" cm="1">
        <f t="array" ref="P31">IF(OR(AND(OR($O$31='Feed(CoreFlex)'!$R$4:$R$5),$O$22&lt;&gt;'Feed(CoreFlex)'!$J$3),AND(OR($O$31='Feed(CoreFlex)'!$R$4:$R$5), $O$25&lt;&gt;'Feed(CoreFlex)'!$M$4),AND(OR($O$31='Feed(CoreFlex)'!$R$4:$R$5),$O$23&lt;&gt;'Feed(CoreFlex)'!$L$3:$L$4),),NA(),0)</f>
        <v>0</v>
      </c>
      <c r="Q31" s="14"/>
      <c r="T31" s="33"/>
    </row>
    <row r="32" spans="1:20" x14ac:dyDescent="0.25">
      <c r="A32" s="11"/>
      <c r="B32" s="527"/>
      <c r="C32" s="528"/>
      <c r="D32" s="14"/>
      <c r="E32" s="642" t="s">
        <v>34</v>
      </c>
      <c r="F32" s="643"/>
      <c r="G32" s="643"/>
      <c r="H32" s="643"/>
      <c r="I32" s="643"/>
      <c r="J32" s="644"/>
      <c r="K32" s="14"/>
      <c r="L32" s="14"/>
      <c r="M32" s="627" t="s">
        <v>70</v>
      </c>
      <c r="N32" s="628"/>
      <c r="O32" s="48" t="s">
        <v>32</v>
      </c>
      <c r="P32" s="362">
        <v>0</v>
      </c>
      <c r="Q32" s="14"/>
      <c r="T32" s="33"/>
    </row>
    <row r="33" spans="1:20" ht="15.75" customHeight="1" x14ac:dyDescent="0.25">
      <c r="A33" s="11"/>
      <c r="B33" s="527"/>
      <c r="C33" s="528"/>
      <c r="D33" s="14"/>
      <c r="E33" s="640" t="s">
        <v>35</v>
      </c>
      <c r="F33" s="641">
        <v>0</v>
      </c>
      <c r="G33" s="44">
        <v>0</v>
      </c>
      <c r="H33" s="44">
        <v>0</v>
      </c>
      <c r="I33" s="44">
        <v>0</v>
      </c>
      <c r="J33" s="45">
        <v>0</v>
      </c>
      <c r="K33" s="14"/>
      <c r="L33" s="14"/>
      <c r="M33" s="627" t="s">
        <v>72</v>
      </c>
      <c r="N33" s="628"/>
      <c r="O33" s="49" t="s">
        <v>32</v>
      </c>
      <c r="P33" s="362">
        <f>'Feed(CoreFlex)'!$B$46</f>
        <v>0</v>
      </c>
      <c r="Q33" s="14"/>
      <c r="T33" s="33"/>
    </row>
    <row r="34" spans="1:20" x14ac:dyDescent="0.25">
      <c r="A34" s="11"/>
      <c r="B34" s="527"/>
      <c r="C34" s="528"/>
      <c r="D34" s="14"/>
      <c r="E34" s="640" t="s">
        <v>167</v>
      </c>
      <c r="F34" s="641">
        <v>0</v>
      </c>
      <c r="G34" s="44">
        <v>-0.5</v>
      </c>
      <c r="H34" s="44">
        <v>-0.5</v>
      </c>
      <c r="I34" s="44">
        <v>-0.5</v>
      </c>
      <c r="J34" s="45" t="e">
        <v>#N/A</v>
      </c>
      <c r="K34" s="14"/>
      <c r="L34" s="14"/>
      <c r="M34" s="627" t="s">
        <v>771</v>
      </c>
      <c r="N34" s="628"/>
      <c r="O34" s="48" t="s">
        <v>768</v>
      </c>
      <c r="P34" s="362">
        <f>IF(O34="Tier 1 States",J42,IF(O34="Tier 2 States",J44,IF(O34="Tier 3 States",J46,"0.000")))</f>
        <v>0</v>
      </c>
      <c r="Q34" s="14"/>
    </row>
    <row r="35" spans="1:20" ht="15.75" customHeight="1" x14ac:dyDescent="0.25">
      <c r="A35" s="11"/>
      <c r="B35" s="527"/>
      <c r="C35" s="528"/>
      <c r="D35" s="14"/>
      <c r="E35" s="642" t="s">
        <v>144</v>
      </c>
      <c r="F35" s="643"/>
      <c r="G35" s="643"/>
      <c r="H35" s="643"/>
      <c r="I35" s="643"/>
      <c r="J35" s="644"/>
      <c r="K35" s="14"/>
      <c r="L35" s="14"/>
      <c r="M35" s="627" t="s">
        <v>208</v>
      </c>
      <c r="N35" s="628"/>
      <c r="O35" s="49" t="str">
        <f>IF(P35=FALSE,"Not Applicable","Yes")</f>
        <v>Not Applicable</v>
      </c>
      <c r="P35" s="362" t="b">
        <f>'Feed(CoreFlex)'!$A$20</f>
        <v>0</v>
      </c>
      <c r="Q35" s="14"/>
    </row>
    <row r="36" spans="1:20" x14ac:dyDescent="0.25">
      <c r="A36" s="11"/>
      <c r="B36" s="527"/>
      <c r="C36" s="528"/>
      <c r="D36" s="14"/>
      <c r="E36" s="631" t="s">
        <v>906</v>
      </c>
      <c r="F36" s="632">
        <v>0</v>
      </c>
      <c r="G36" s="44">
        <v>-0.25</v>
      </c>
      <c r="H36" s="44">
        <v>-0.25</v>
      </c>
      <c r="I36" s="44">
        <v>-0.25</v>
      </c>
      <c r="J36" s="45">
        <v>-0.25</v>
      </c>
      <c r="K36" s="14"/>
      <c r="L36" s="14"/>
      <c r="M36" s="691" t="s">
        <v>78</v>
      </c>
      <c r="N36" s="692"/>
      <c r="O36" s="693"/>
      <c r="P36" s="469" t="e">
        <f>SUM($P$12:$P$35)</f>
        <v>#N/A</v>
      </c>
      <c r="Q36" s="14"/>
    </row>
    <row r="37" spans="1:20" ht="15.75" customHeight="1" x14ac:dyDescent="0.25">
      <c r="A37" s="11"/>
      <c r="B37" s="527"/>
      <c r="C37" s="528"/>
      <c r="D37" s="14"/>
      <c r="E37" s="790" t="s">
        <v>907</v>
      </c>
      <c r="F37" s="791">
        <v>0</v>
      </c>
      <c r="G37" s="91">
        <v>-0.25</v>
      </c>
      <c r="H37" s="91">
        <v>-0.25</v>
      </c>
      <c r="I37" s="91">
        <v>-0.25</v>
      </c>
      <c r="J37" s="92">
        <v>-0.25</v>
      </c>
      <c r="K37" s="50"/>
      <c r="L37" s="14"/>
      <c r="M37" s="691" t="s">
        <v>80</v>
      </c>
      <c r="N37" s="692"/>
      <c r="O37" s="693"/>
      <c r="P37" s="469" t="str">
        <f>IFERROR(INDEX(C10:C37,MATCH(O10,B10:B37,0),MATCH(O17,C10:C10,0)),"#N/A")</f>
        <v>#N/A</v>
      </c>
      <c r="Q37" s="14"/>
      <c r="S37" s="47"/>
    </row>
    <row r="38" spans="1:20" ht="15.75" customHeight="1" x14ac:dyDescent="0.25">
      <c r="A38" s="11"/>
      <c r="B38" s="735"/>
      <c r="C38" s="792"/>
      <c r="D38" s="14"/>
      <c r="E38" s="793"/>
      <c r="F38" s="794"/>
      <c r="G38" s="794"/>
      <c r="H38" s="794"/>
      <c r="I38" s="794"/>
      <c r="J38" s="795"/>
      <c r="K38" s="14"/>
      <c r="L38" s="14"/>
      <c r="M38" s="691" t="s">
        <v>82</v>
      </c>
      <c r="N38" s="692"/>
      <c r="O38" s="693"/>
      <c r="P38" s="469" t="e">
        <f>IFERROR(P37+P36,NA())</f>
        <v>#N/A</v>
      </c>
      <c r="Q38" s="14"/>
    </row>
    <row r="39" spans="1:20" x14ac:dyDescent="0.25">
      <c r="A39" s="11"/>
      <c r="B39" s="737"/>
      <c r="C39" s="796"/>
      <c r="D39" s="14"/>
      <c r="E39" s="737"/>
      <c r="F39" s="738"/>
      <c r="G39" s="738"/>
      <c r="H39" s="738"/>
      <c r="I39" s="738"/>
      <c r="J39" s="796"/>
      <c r="K39" s="14"/>
      <c r="L39" s="14"/>
      <c r="M39" s="691" t="s">
        <v>84</v>
      </c>
      <c r="N39" s="692"/>
      <c r="O39" s="693"/>
      <c r="P39" s="469">
        <f>IF(OR('Feed(CoreFlex)'!$E$126=0,ISERROR('Feed(CoreFlex)'!$E$126)),NA(),'Feed(CoreFlex)'!$E$126)</f>
        <v>99.5</v>
      </c>
      <c r="Q39" s="14"/>
    </row>
    <row r="40" spans="1:20" ht="14.25" customHeight="1" x14ac:dyDescent="0.25">
      <c r="A40" s="11"/>
      <c r="B40" s="518"/>
      <c r="C40" s="519"/>
      <c r="D40" s="14"/>
      <c r="E40" s="806" t="s">
        <v>897</v>
      </c>
      <c r="F40" s="761"/>
      <c r="G40" s="761"/>
      <c r="H40" s="761"/>
      <c r="I40" s="761"/>
      <c r="J40" s="762"/>
      <c r="K40" s="14"/>
      <c r="L40" s="14"/>
      <c r="M40" s="694" t="s">
        <v>86</v>
      </c>
      <c r="N40" s="695"/>
      <c r="O40" s="696"/>
      <c r="P40" s="51" t="e">
        <f>IF(OR($P$36="#NA",$P$37="#NA"),NA(),IF($O$10&lt;&gt;'Feed(CoreFlex)'!$K$113,"Max Price "&amp;B46&amp;" @ "&amp;O10,IF($P$38&gt;$P$39,$P$39,$P$38)))</f>
        <v>#N/A</v>
      </c>
      <c r="Q40" s="14"/>
    </row>
    <row r="41" spans="1:20" ht="14.25" customHeight="1" thickBot="1" x14ac:dyDescent="0.3">
      <c r="A41" s="11"/>
      <c r="B41" s="41" t="s">
        <v>65</v>
      </c>
      <c r="C41" s="43" t="s">
        <v>102</v>
      </c>
      <c r="D41" s="14"/>
      <c r="E41" s="635" t="s">
        <v>898</v>
      </c>
      <c r="F41" s="636"/>
      <c r="G41" s="636"/>
      <c r="H41" s="636"/>
      <c r="I41" s="636"/>
      <c r="J41" s="637"/>
      <c r="K41" s="14"/>
      <c r="L41" s="14"/>
      <c r="M41" s="697" t="str" cm="1">
        <f t="array" ref="M41">IF(OR($O$11:$O$25="Choose a Selection"),"",CONCATENATE('Feed(CoreFlex)'!$I$113," ",'Feed(CoreFlex)'!$K$113,"%"&amp;" @ "&amp;'Feed(CoreFlex)'!$L$113))</f>
        <v/>
      </c>
      <c r="N41" s="698"/>
      <c r="O41" s="698"/>
      <c r="P41" s="699"/>
      <c r="Q41" s="14"/>
    </row>
    <row r="42" spans="1:20" ht="13.5" customHeight="1" thickBot="1" x14ac:dyDescent="0.3">
      <c r="A42" s="11"/>
      <c r="B42" s="61" t="s">
        <v>107</v>
      </c>
      <c r="C42" s="62">
        <v>-0.25</v>
      </c>
      <c r="D42" s="14"/>
      <c r="E42" s="722" t="s">
        <v>768</v>
      </c>
      <c r="F42" s="798" t="s">
        <v>939</v>
      </c>
      <c r="G42" s="799"/>
      <c r="H42" s="799"/>
      <c r="I42" s="800"/>
      <c r="J42" s="804">
        <v>0</v>
      </c>
      <c r="K42" s="14"/>
      <c r="L42" s="14"/>
      <c r="M42" s="633" t="s">
        <v>761</v>
      </c>
      <c r="N42" s="667"/>
      <c r="O42" s="667"/>
      <c r="P42" s="634"/>
      <c r="Q42" s="14"/>
    </row>
    <row r="43" spans="1:20" ht="13.5" customHeight="1" thickBot="1" x14ac:dyDescent="0.3">
      <c r="A43" s="11"/>
      <c r="B43" s="61" t="s">
        <v>112</v>
      </c>
      <c r="C43" s="62">
        <v>-0.5</v>
      </c>
      <c r="D43" s="14"/>
      <c r="E43" s="722"/>
      <c r="F43" s="801"/>
      <c r="G43" s="802"/>
      <c r="H43" s="802"/>
      <c r="I43" s="803"/>
      <c r="J43" s="805"/>
      <c r="K43" s="52"/>
      <c r="L43" s="14"/>
      <c r="M43" s="633" t="s">
        <v>762</v>
      </c>
      <c r="N43" s="634"/>
      <c r="O43" s="668">
        <v>500000</v>
      </c>
      <c r="P43" s="669"/>
      <c r="Q43" s="14"/>
    </row>
    <row r="44" spans="1:20" ht="13.5" customHeight="1" thickBot="1" x14ac:dyDescent="0.3">
      <c r="A44" s="11"/>
      <c r="B44" s="739"/>
      <c r="C44" s="797"/>
      <c r="D44" s="14"/>
      <c r="E44" s="722" t="s">
        <v>769</v>
      </c>
      <c r="F44" s="798" t="s">
        <v>780</v>
      </c>
      <c r="G44" s="799"/>
      <c r="H44" s="799"/>
      <c r="I44" s="800"/>
      <c r="J44" s="804">
        <v>0.15</v>
      </c>
      <c r="K44" s="14"/>
      <c r="L44" s="14"/>
      <c r="M44" s="633" t="s">
        <v>763</v>
      </c>
      <c r="N44" s="634"/>
      <c r="O44" s="483">
        <v>2.25</v>
      </c>
      <c r="P44" s="484">
        <f>O44/100*O43</f>
        <v>11250</v>
      </c>
      <c r="Q44" s="14"/>
    </row>
    <row r="45" spans="1:20" ht="13.5" customHeight="1" thickBot="1" x14ac:dyDescent="0.3">
      <c r="A45" s="11"/>
      <c r="B45" s="739" t="s">
        <v>104</v>
      </c>
      <c r="C45" s="797"/>
      <c r="D45" s="14"/>
      <c r="E45" s="722"/>
      <c r="F45" s="801"/>
      <c r="G45" s="802"/>
      <c r="H45" s="802"/>
      <c r="I45" s="803"/>
      <c r="J45" s="805"/>
      <c r="K45" s="14"/>
      <c r="L45" s="14"/>
      <c r="M45" s="633" t="s">
        <v>764</v>
      </c>
      <c r="N45" s="634"/>
      <c r="O45" s="482"/>
      <c r="P45" s="485">
        <f>O45/O43*100</f>
        <v>0</v>
      </c>
      <c r="Q45" s="14"/>
    </row>
    <row r="46" spans="1:20" ht="13.5" customHeight="1" thickBot="1" x14ac:dyDescent="0.3">
      <c r="A46" s="11"/>
      <c r="B46" s="807">
        <v>99.5</v>
      </c>
      <c r="C46" s="808"/>
      <c r="D46" s="14"/>
      <c r="E46" s="722" t="s">
        <v>770</v>
      </c>
      <c r="F46" s="809" t="s">
        <v>940</v>
      </c>
      <c r="G46" s="810"/>
      <c r="H46" s="810"/>
      <c r="I46" s="811"/>
      <c r="J46" s="804">
        <v>0.25</v>
      </c>
      <c r="K46" s="14"/>
      <c r="L46" s="14"/>
      <c r="M46" s="633" t="s">
        <v>765</v>
      </c>
      <c r="N46" s="634"/>
      <c r="O46" s="617">
        <f>O44+P45</f>
        <v>2.25</v>
      </c>
      <c r="P46" s="618"/>
      <c r="Q46" s="14"/>
    </row>
    <row r="47" spans="1:20" ht="13.5" customHeight="1" thickBot="1" x14ac:dyDescent="0.3">
      <c r="A47" s="11"/>
      <c r="B47" s="739" t="s">
        <v>105</v>
      </c>
      <c r="C47" s="797"/>
      <c r="D47" s="14"/>
      <c r="E47" s="722"/>
      <c r="F47" s="812"/>
      <c r="G47" s="813"/>
      <c r="H47" s="813"/>
      <c r="I47" s="814"/>
      <c r="J47" s="805"/>
      <c r="K47" s="14"/>
      <c r="L47" s="14"/>
      <c r="M47" s="700" t="s">
        <v>766</v>
      </c>
      <c r="N47" s="701"/>
      <c r="O47" s="702" t="e">
        <f>P40-O46</f>
        <v>#N/A</v>
      </c>
      <c r="P47" s="703"/>
      <c r="Q47" s="14"/>
    </row>
    <row r="48" spans="1:20" x14ac:dyDescent="0.25">
      <c r="A48" s="11"/>
      <c r="B48" s="818" t="s">
        <v>899</v>
      </c>
      <c r="C48" s="819"/>
      <c r="D48" s="14"/>
      <c r="E48" s="635" t="s">
        <v>116</v>
      </c>
      <c r="F48" s="636"/>
      <c r="G48" s="636"/>
      <c r="H48" s="636"/>
      <c r="I48" s="636"/>
      <c r="J48" s="637"/>
      <c r="K48" s="14"/>
      <c r="L48" s="14"/>
      <c r="M48" s="820" t="s">
        <v>941</v>
      </c>
      <c r="N48" s="821"/>
      <c r="O48" s="821"/>
      <c r="P48" s="822"/>
      <c r="Q48" s="14"/>
    </row>
    <row r="49" spans="1:21" ht="15.75" customHeight="1" x14ac:dyDescent="0.25">
      <c r="A49" s="11"/>
      <c r="B49" s="713" t="s">
        <v>154</v>
      </c>
      <c r="C49" s="826"/>
      <c r="D49" s="14"/>
      <c r="E49" s="827" t="s">
        <v>121</v>
      </c>
      <c r="F49" s="828"/>
      <c r="G49" s="828"/>
      <c r="H49" s="828"/>
      <c r="I49" s="828"/>
      <c r="J49" s="829"/>
      <c r="K49" s="14"/>
      <c r="L49" s="14"/>
      <c r="M49" s="823"/>
      <c r="N49" s="824"/>
      <c r="O49" s="824"/>
      <c r="P49" s="825"/>
      <c r="Q49" s="14"/>
    </row>
    <row r="50" spans="1:21" x14ac:dyDescent="0.25">
      <c r="A50" s="11"/>
      <c r="B50" s="833" t="s">
        <v>157</v>
      </c>
      <c r="C50" s="834"/>
      <c r="D50" s="14"/>
      <c r="E50" s="827"/>
      <c r="F50" s="828"/>
      <c r="G50" s="828"/>
      <c r="H50" s="828"/>
      <c r="I50" s="828"/>
      <c r="J50" s="829"/>
      <c r="K50" s="14"/>
      <c r="L50" s="14"/>
      <c r="M50" s="835"/>
      <c r="N50" s="836"/>
      <c r="O50" s="836"/>
      <c r="P50" s="837"/>
      <c r="Q50" s="53"/>
    </row>
    <row r="51" spans="1:21" ht="13.5" customHeight="1" x14ac:dyDescent="0.25">
      <c r="A51" s="14"/>
      <c r="B51" s="95"/>
      <c r="C51" s="94"/>
      <c r="D51" s="54"/>
      <c r="E51" s="827"/>
      <c r="F51" s="828"/>
      <c r="G51" s="828"/>
      <c r="H51" s="828"/>
      <c r="I51" s="828"/>
      <c r="J51" s="829"/>
      <c r="K51" s="14"/>
      <c r="L51" s="54"/>
      <c r="M51" s="838" t="s">
        <v>942</v>
      </c>
      <c r="N51" s="839"/>
      <c r="O51" s="839"/>
      <c r="P51" s="840"/>
      <c r="Q51" s="56"/>
    </row>
    <row r="52" spans="1:21" x14ac:dyDescent="0.25">
      <c r="A52" s="14"/>
      <c r="B52" s="95"/>
      <c r="C52" s="94"/>
      <c r="D52" s="14"/>
      <c r="E52" s="827"/>
      <c r="F52" s="828"/>
      <c r="G52" s="828"/>
      <c r="H52" s="828"/>
      <c r="I52" s="828"/>
      <c r="J52" s="829"/>
      <c r="K52" s="14"/>
      <c r="L52" s="14"/>
      <c r="M52" s="835"/>
      <c r="N52" s="836"/>
      <c r="O52" s="836"/>
      <c r="P52" s="837"/>
      <c r="Q52" s="56"/>
    </row>
    <row r="53" spans="1:21" ht="15.75" customHeight="1" x14ac:dyDescent="0.25">
      <c r="A53" s="14"/>
      <c r="B53" s="95"/>
      <c r="C53" s="94"/>
      <c r="D53" s="14"/>
      <c r="E53" s="827"/>
      <c r="F53" s="828"/>
      <c r="G53" s="828"/>
      <c r="H53" s="828"/>
      <c r="I53" s="828"/>
      <c r="J53" s="829"/>
      <c r="K53" s="14"/>
      <c r="L53" s="14"/>
      <c r="M53" s="529"/>
      <c r="N53" s="530"/>
      <c r="O53" s="530"/>
      <c r="P53" s="531"/>
      <c r="Q53" s="56"/>
      <c r="R53" s="532"/>
      <c r="S53" s="532"/>
      <c r="T53" s="532"/>
      <c r="U53" s="532"/>
    </row>
    <row r="54" spans="1:21" ht="15" customHeight="1" x14ac:dyDescent="0.25">
      <c r="A54" s="14"/>
      <c r="B54" s="95"/>
      <c r="C54" s="94"/>
      <c r="D54" s="60"/>
      <c r="E54" s="827"/>
      <c r="F54" s="828"/>
      <c r="G54" s="828"/>
      <c r="H54" s="828"/>
      <c r="I54" s="828"/>
      <c r="J54" s="829"/>
      <c r="K54" s="14"/>
      <c r="L54" s="14"/>
      <c r="M54" s="95"/>
      <c r="N54" s="93"/>
      <c r="O54" s="93"/>
      <c r="P54" s="94"/>
      <c r="Q54" s="56"/>
    </row>
    <row r="55" spans="1:21" ht="15.75" thickBot="1" x14ac:dyDescent="0.3">
      <c r="A55" s="14"/>
      <c r="B55" s="95"/>
      <c r="C55" s="94"/>
      <c r="D55" s="14"/>
      <c r="E55" s="830"/>
      <c r="F55" s="831"/>
      <c r="G55" s="831"/>
      <c r="H55" s="831"/>
      <c r="I55" s="831"/>
      <c r="J55" s="832"/>
      <c r="K55" s="14"/>
      <c r="L55" s="14"/>
      <c r="M55" s="529"/>
      <c r="N55" s="530"/>
      <c r="O55" s="530"/>
      <c r="P55" s="531"/>
      <c r="Q55" s="56"/>
    </row>
    <row r="56" spans="1:21" x14ac:dyDescent="0.25">
      <c r="A56" s="14"/>
      <c r="B56" s="95"/>
      <c r="C56" s="94"/>
      <c r="D56" s="64"/>
      <c r="E56" s="761"/>
      <c r="F56" s="761"/>
      <c r="G56" s="761"/>
      <c r="H56" s="761"/>
      <c r="I56" s="530"/>
      <c r="J56" s="530"/>
      <c r="K56" s="14"/>
      <c r="L56" s="14"/>
      <c r="M56" s="806"/>
      <c r="N56" s="761"/>
      <c r="O56" s="761"/>
      <c r="P56" s="762"/>
      <c r="Q56" s="56"/>
    </row>
    <row r="57" spans="1:21" ht="15.75" thickBot="1" x14ac:dyDescent="0.3">
      <c r="A57" s="14"/>
      <c r="B57" s="263"/>
      <c r="C57" s="97"/>
      <c r="D57" s="64"/>
      <c r="E57" s="761"/>
      <c r="F57" s="761"/>
      <c r="G57" s="761"/>
      <c r="H57" s="761"/>
      <c r="I57" s="530"/>
      <c r="J57" s="530"/>
      <c r="K57" s="14"/>
      <c r="L57" s="14"/>
      <c r="M57" s="815"/>
      <c r="N57" s="816"/>
      <c r="O57" s="816"/>
      <c r="P57" s="817"/>
      <c r="Q57" s="56"/>
    </row>
    <row r="58" spans="1:21" x14ac:dyDescent="0.25">
      <c r="B58" s="110"/>
      <c r="C58" s="110"/>
      <c r="D58" s="3"/>
      <c r="K58" s="110"/>
    </row>
    <row r="59" spans="1:21" x14ac:dyDescent="0.25">
      <c r="B59" s="105"/>
      <c r="C59" s="106"/>
      <c r="E59" s="3"/>
      <c r="F59" s="103"/>
      <c r="G59" s="104"/>
      <c r="H59" s="104"/>
      <c r="I59" s="104"/>
      <c r="J59" s="104"/>
    </row>
    <row r="60" spans="1:21" ht="18.75" customHeight="1" x14ac:dyDescent="0.25">
      <c r="B60" s="105"/>
      <c r="C60" s="106"/>
      <c r="D60" s="3"/>
      <c r="E60" s="3"/>
      <c r="F60" s="3"/>
      <c r="G60" s="103"/>
      <c r="H60" s="104"/>
      <c r="I60" s="104"/>
      <c r="J60" s="104"/>
    </row>
    <row r="61" spans="1:21" x14ac:dyDescent="0.25">
      <c r="B61" s="105"/>
      <c r="C61" s="106"/>
      <c r="D61" s="3"/>
      <c r="G61" s="104"/>
      <c r="H61" s="104"/>
      <c r="I61" s="104"/>
      <c r="J61" s="104"/>
    </row>
    <row r="62" spans="1:21" ht="14.25" customHeight="1" x14ac:dyDescent="0.25">
      <c r="B62" s="105"/>
      <c r="C62" s="106"/>
      <c r="D62" s="3"/>
      <c r="G62" s="104"/>
      <c r="H62" s="104"/>
      <c r="I62" s="104"/>
      <c r="J62" s="104"/>
    </row>
    <row r="63" spans="1:21" ht="15" customHeight="1" x14ac:dyDescent="0.25">
      <c r="B63" s="105"/>
      <c r="C63" s="106"/>
      <c r="D63" s="3"/>
      <c r="G63" s="104"/>
      <c r="H63" s="104"/>
      <c r="I63" s="104"/>
      <c r="J63" s="104"/>
    </row>
    <row r="64" spans="1:21" ht="15" customHeight="1" x14ac:dyDescent="0.25">
      <c r="B64" s="105"/>
      <c r="C64" s="112"/>
      <c r="D64" s="3"/>
      <c r="G64" s="104"/>
      <c r="H64" s="104"/>
      <c r="I64" s="104"/>
      <c r="J64" s="104"/>
    </row>
    <row r="65" spans="2:10" ht="14.25" customHeight="1" x14ac:dyDescent="0.25">
      <c r="B65" s="111"/>
      <c r="C65" s="111"/>
      <c r="D65" s="3"/>
      <c r="G65" s="104"/>
      <c r="H65" s="104"/>
      <c r="I65" s="104"/>
      <c r="J65" s="104"/>
    </row>
    <row r="66" spans="2:10" ht="14.25" customHeight="1" x14ac:dyDescent="0.25">
      <c r="B66" s="105"/>
      <c r="C66" s="106"/>
      <c r="D66" s="3"/>
      <c r="G66" s="104"/>
      <c r="H66" s="104"/>
      <c r="I66" s="104"/>
      <c r="J66" s="104"/>
    </row>
    <row r="67" spans="2:10" ht="14.25" customHeight="1" x14ac:dyDescent="0.25">
      <c r="B67" s="3"/>
      <c r="C67" s="3"/>
      <c r="D67" s="3"/>
      <c r="G67" s="104"/>
      <c r="H67" s="104"/>
      <c r="I67" s="104"/>
      <c r="J67" s="104"/>
    </row>
    <row r="68" spans="2:10" ht="14.25" customHeight="1" x14ac:dyDescent="0.25">
      <c r="B68" s="3"/>
      <c r="C68" s="3"/>
      <c r="D68" s="3"/>
      <c r="G68" s="104"/>
      <c r="H68" s="104"/>
      <c r="I68" s="104"/>
      <c r="J68" s="104"/>
    </row>
    <row r="69" spans="2:10" ht="14.25" customHeight="1" x14ac:dyDescent="0.25">
      <c r="B69" s="3"/>
      <c r="C69" s="3"/>
      <c r="D69" s="3"/>
      <c r="G69" s="104"/>
      <c r="H69" s="104"/>
      <c r="I69" s="104"/>
      <c r="J69" s="104"/>
    </row>
    <row r="70" spans="2:10" ht="14.25" customHeight="1" x14ac:dyDescent="0.25">
      <c r="B70" s="3"/>
      <c r="C70" s="3"/>
      <c r="D70" s="3"/>
      <c r="G70" s="104"/>
      <c r="H70" s="104"/>
      <c r="I70" s="104"/>
      <c r="J70" s="104"/>
    </row>
    <row r="71" spans="2:10" ht="14.25" customHeight="1" x14ac:dyDescent="0.25">
      <c r="B71" s="3"/>
      <c r="C71" s="3"/>
      <c r="D71" s="3"/>
      <c r="G71" s="104"/>
      <c r="H71" s="104"/>
      <c r="I71" s="104"/>
      <c r="J71" s="104"/>
    </row>
    <row r="72" spans="2:10" ht="15" customHeight="1" x14ac:dyDescent="0.25">
      <c r="B72" s="3"/>
      <c r="C72" s="3"/>
      <c r="D72" s="3"/>
      <c r="G72" s="104"/>
      <c r="H72" s="104"/>
      <c r="I72" s="104"/>
      <c r="J72" s="104"/>
    </row>
    <row r="73" spans="2:10" x14ac:dyDescent="0.25">
      <c r="B73" s="3"/>
      <c r="C73" s="3"/>
      <c r="D73" s="3"/>
      <c r="G73" s="104"/>
      <c r="H73" s="104"/>
      <c r="I73" s="104"/>
      <c r="J73" s="104"/>
    </row>
    <row r="74" spans="2:10" x14ac:dyDescent="0.25">
      <c r="B74" s="3"/>
      <c r="C74" s="3"/>
      <c r="D74" s="3"/>
      <c r="G74" s="104"/>
      <c r="H74" s="104"/>
      <c r="I74" s="104"/>
      <c r="J74" s="104"/>
    </row>
    <row r="75" spans="2:10" x14ac:dyDescent="0.25">
      <c r="B75" s="3"/>
      <c r="C75" s="3"/>
      <c r="D75" s="3"/>
      <c r="G75" s="104"/>
      <c r="H75" s="104"/>
      <c r="I75" s="104"/>
      <c r="J75" s="104"/>
    </row>
    <row r="76" spans="2:10" x14ac:dyDescent="0.25">
      <c r="D76" s="3"/>
      <c r="G76" s="104"/>
      <c r="H76" s="104"/>
      <c r="I76" s="104"/>
      <c r="J76" s="104"/>
    </row>
    <row r="77" spans="2:10" x14ac:dyDescent="0.25">
      <c r="D77" s="3"/>
      <c r="G77" s="104"/>
      <c r="H77" s="104"/>
      <c r="I77" s="104"/>
      <c r="J77" s="104"/>
    </row>
    <row r="78" spans="2:10" x14ac:dyDescent="0.25">
      <c r="D78" s="3"/>
      <c r="G78" s="104"/>
      <c r="H78" s="104"/>
      <c r="I78" s="104"/>
      <c r="J78" s="104"/>
    </row>
    <row r="79" spans="2:10" x14ac:dyDescent="0.25">
      <c r="D79" s="3"/>
      <c r="G79" s="104"/>
      <c r="H79" s="104"/>
      <c r="I79" s="104"/>
      <c r="J79" s="104"/>
    </row>
    <row r="80" spans="2:10" x14ac:dyDescent="0.25">
      <c r="D80" s="3"/>
      <c r="G80" s="104"/>
      <c r="H80" s="104"/>
      <c r="I80" s="104"/>
      <c r="J80" s="104"/>
    </row>
    <row r="81" spans="4:10" x14ac:dyDescent="0.25">
      <c r="D81" s="3"/>
      <c r="G81" s="104"/>
      <c r="H81" s="104"/>
      <c r="I81" s="104"/>
      <c r="J81" s="104"/>
    </row>
    <row r="82" spans="4:10" x14ac:dyDescent="0.25">
      <c r="D82" s="3"/>
      <c r="G82" s="104"/>
      <c r="H82" s="104"/>
      <c r="I82" s="104"/>
      <c r="J82" s="104"/>
    </row>
    <row r="83" spans="4:10" x14ac:dyDescent="0.25">
      <c r="D83" s="3"/>
      <c r="G83" s="104"/>
      <c r="H83" s="104"/>
      <c r="I83" s="104"/>
      <c r="J83" s="104"/>
    </row>
    <row r="84" spans="4:10" x14ac:dyDescent="0.25">
      <c r="G84" s="104"/>
      <c r="H84" s="104"/>
      <c r="I84" s="104"/>
      <c r="J84" s="104"/>
    </row>
    <row r="85" spans="4:10" x14ac:dyDescent="0.25">
      <c r="G85" s="104"/>
      <c r="H85" s="104"/>
      <c r="I85" s="104"/>
      <c r="J85" s="104"/>
    </row>
    <row r="86" spans="4:10" x14ac:dyDescent="0.25">
      <c r="G86" s="104"/>
      <c r="H86" s="104"/>
      <c r="I86" s="104"/>
      <c r="J86" s="104"/>
    </row>
    <row r="87" spans="4:10" ht="18" customHeight="1" x14ac:dyDescent="0.25">
      <c r="G87" s="104"/>
      <c r="H87" s="104"/>
      <c r="I87" s="104"/>
      <c r="J87" s="104"/>
    </row>
    <row r="88" spans="4:10" ht="15.75" customHeight="1" x14ac:dyDescent="0.25">
      <c r="G88" s="104"/>
      <c r="H88" s="104"/>
      <c r="I88" s="104"/>
      <c r="J88" s="104"/>
    </row>
    <row r="89" spans="4:10" ht="16.5" customHeight="1" x14ac:dyDescent="0.25">
      <c r="G89" s="104"/>
      <c r="H89" s="104"/>
      <c r="I89" s="104"/>
      <c r="J89" s="104"/>
    </row>
    <row r="90" spans="4:10" x14ac:dyDescent="0.25">
      <c r="G90" s="104"/>
      <c r="H90" s="104"/>
      <c r="I90" s="104"/>
      <c r="J90" s="104"/>
    </row>
    <row r="91" spans="4:10" ht="15.75" customHeight="1" x14ac:dyDescent="0.25">
      <c r="G91" s="104"/>
      <c r="H91" s="104"/>
      <c r="I91" s="104"/>
      <c r="J91" s="104"/>
    </row>
    <row r="92" spans="4:10" x14ac:dyDescent="0.25">
      <c r="G92" s="104"/>
      <c r="H92" s="104"/>
      <c r="I92" s="104"/>
      <c r="J92" s="104"/>
    </row>
    <row r="93" spans="4:10" ht="15" customHeight="1" x14ac:dyDescent="0.25">
      <c r="G93" s="104"/>
      <c r="H93" s="104"/>
      <c r="I93" s="104"/>
      <c r="J93" s="104"/>
    </row>
    <row r="94" spans="4:10" ht="15.75" customHeight="1" x14ac:dyDescent="0.25">
      <c r="G94" s="104"/>
      <c r="H94" s="104"/>
      <c r="I94" s="104"/>
      <c r="J94" s="104"/>
    </row>
    <row r="95" spans="4:10" ht="32.25" customHeight="1" x14ac:dyDescent="0.25">
      <c r="G95" s="104"/>
      <c r="H95" s="104"/>
      <c r="I95" s="104"/>
      <c r="J95" s="104"/>
    </row>
    <row r="96" spans="4:10" x14ac:dyDescent="0.25">
      <c r="G96" s="104"/>
      <c r="H96" s="104"/>
      <c r="I96" s="104"/>
      <c r="J96" s="104"/>
    </row>
    <row r="97" spans="7:10" ht="18" customHeight="1" x14ac:dyDescent="0.25">
      <c r="G97" s="104"/>
      <c r="H97" s="104"/>
      <c r="I97" s="104"/>
      <c r="J97" s="104"/>
    </row>
    <row r="98" spans="7:10" ht="15" customHeight="1" x14ac:dyDescent="0.25">
      <c r="G98" s="104"/>
      <c r="H98" s="104"/>
      <c r="I98" s="104"/>
      <c r="J98" s="104"/>
    </row>
    <row r="99" spans="7:10" ht="15" customHeight="1" x14ac:dyDescent="0.25">
      <c r="G99" s="104"/>
      <c r="H99" s="104"/>
      <c r="I99" s="104"/>
      <c r="J99" s="104"/>
    </row>
    <row r="100" spans="7:10" ht="15" customHeight="1" x14ac:dyDescent="0.25">
      <c r="G100" s="104"/>
      <c r="H100" s="104"/>
      <c r="I100" s="104"/>
      <c r="J100" s="104"/>
    </row>
    <row r="101" spans="7:10" ht="15" customHeight="1" x14ac:dyDescent="0.25">
      <c r="G101" s="104"/>
      <c r="H101" s="104"/>
      <c r="I101" s="104"/>
      <c r="J101" s="104"/>
    </row>
    <row r="102" spans="7:10" ht="15" customHeight="1" x14ac:dyDescent="0.25">
      <c r="G102" s="104"/>
      <c r="H102" s="104"/>
      <c r="I102" s="104"/>
      <c r="J102" s="104"/>
    </row>
    <row r="103" spans="7:10" ht="15" customHeight="1" x14ac:dyDescent="0.25">
      <c r="G103" s="104"/>
      <c r="H103" s="104"/>
      <c r="I103" s="104"/>
      <c r="J103" s="104"/>
    </row>
    <row r="104" spans="7:10" ht="15" customHeight="1" x14ac:dyDescent="0.25">
      <c r="G104" s="104"/>
      <c r="H104" s="104"/>
      <c r="I104" s="104"/>
      <c r="J104" s="104"/>
    </row>
    <row r="105" spans="7:10" x14ac:dyDescent="0.25">
      <c r="G105" s="104"/>
      <c r="H105" s="104"/>
      <c r="I105" s="104"/>
      <c r="J105" s="104"/>
    </row>
    <row r="106" spans="7:10" ht="15.75" customHeight="1" x14ac:dyDescent="0.25">
      <c r="G106" s="104"/>
      <c r="H106" s="104"/>
      <c r="I106" s="104"/>
      <c r="J106" s="104"/>
    </row>
    <row r="107" spans="7:10" ht="15.75" customHeight="1" x14ac:dyDescent="0.25">
      <c r="G107" s="104"/>
      <c r="H107" s="104"/>
      <c r="I107" s="104"/>
      <c r="J107" s="104"/>
    </row>
    <row r="108" spans="7:10" ht="41.25" customHeight="1" x14ac:dyDescent="0.25">
      <c r="G108" s="104"/>
      <c r="H108" s="104"/>
      <c r="I108" s="104"/>
      <c r="J108" s="104"/>
    </row>
    <row r="109" spans="7:10" ht="15.75" customHeight="1" x14ac:dyDescent="0.25">
      <c r="G109" s="104"/>
      <c r="H109" s="104"/>
      <c r="I109" s="104"/>
      <c r="J109" s="104"/>
    </row>
    <row r="110" spans="7:10" ht="15.75" customHeight="1" x14ac:dyDescent="0.25">
      <c r="G110" s="104"/>
      <c r="H110" s="104"/>
      <c r="I110" s="104"/>
      <c r="J110" s="104"/>
    </row>
    <row r="111" spans="7:10" ht="47.25" customHeight="1" x14ac:dyDescent="0.25">
      <c r="G111" s="104"/>
      <c r="H111" s="104"/>
      <c r="I111" s="104"/>
      <c r="J111" s="104"/>
    </row>
    <row r="112" spans="7:10" x14ac:dyDescent="0.25">
      <c r="G112" s="104"/>
      <c r="H112" s="104"/>
      <c r="I112" s="104"/>
      <c r="J112" s="104"/>
    </row>
    <row r="113" spans="7:10" ht="15.75" customHeight="1" x14ac:dyDescent="0.25">
      <c r="G113" s="104"/>
      <c r="H113" s="104"/>
      <c r="I113" s="104"/>
      <c r="J113" s="104"/>
    </row>
    <row r="114" spans="7:10" ht="15.75" customHeight="1" x14ac:dyDescent="0.25">
      <c r="G114" s="104"/>
      <c r="H114" s="104"/>
      <c r="I114" s="104"/>
      <c r="J114" s="104"/>
    </row>
    <row r="115" spans="7:10" ht="15.75" customHeight="1" x14ac:dyDescent="0.25">
      <c r="G115" s="104"/>
      <c r="H115" s="104"/>
      <c r="I115" s="104"/>
      <c r="J115" s="104"/>
    </row>
    <row r="116" spans="7:10" ht="31.5" customHeight="1" x14ac:dyDescent="0.25">
      <c r="G116" s="104"/>
      <c r="H116" s="104"/>
      <c r="I116" s="104"/>
      <c r="J116" s="104"/>
    </row>
    <row r="117" spans="7:10" ht="15.75" customHeight="1" x14ac:dyDescent="0.25">
      <c r="G117" s="104"/>
      <c r="H117" s="104"/>
      <c r="I117" s="104"/>
      <c r="J117" s="104"/>
    </row>
    <row r="118" spans="7:10" ht="15" customHeight="1" x14ac:dyDescent="0.25">
      <c r="G118" s="104"/>
      <c r="H118" s="104"/>
      <c r="I118" s="104"/>
      <c r="J118" s="104"/>
    </row>
    <row r="119" spans="7:10" ht="15" customHeight="1" x14ac:dyDescent="0.25">
      <c r="G119" s="104"/>
      <c r="H119" s="104"/>
      <c r="I119" s="104"/>
      <c r="J119" s="104"/>
    </row>
    <row r="120" spans="7:10" ht="15" customHeight="1" x14ac:dyDescent="0.25">
      <c r="G120" s="104"/>
      <c r="H120" s="104"/>
      <c r="I120" s="104"/>
      <c r="J120" s="104"/>
    </row>
    <row r="121" spans="7:10" ht="15.75" customHeight="1" x14ac:dyDescent="0.25">
      <c r="G121" s="104"/>
      <c r="H121" s="104"/>
      <c r="I121" s="104"/>
      <c r="J121" s="104"/>
    </row>
    <row r="122" spans="7:10" x14ac:dyDescent="0.25">
      <c r="G122" s="104"/>
      <c r="H122" s="104"/>
      <c r="I122" s="104"/>
      <c r="J122" s="104"/>
    </row>
    <row r="123" spans="7:10" ht="15.75" customHeight="1" x14ac:dyDescent="0.25">
      <c r="G123" s="104"/>
      <c r="H123" s="104"/>
      <c r="I123" s="104"/>
      <c r="J123" s="104"/>
    </row>
    <row r="124" spans="7:10" x14ac:dyDescent="0.25">
      <c r="G124" s="104"/>
      <c r="H124" s="104"/>
      <c r="I124" s="104"/>
      <c r="J124" s="104"/>
    </row>
    <row r="125" spans="7:10" x14ac:dyDescent="0.25">
      <c r="G125" s="104"/>
      <c r="H125" s="104"/>
      <c r="I125" s="104"/>
      <c r="J125" s="104"/>
    </row>
    <row r="126" spans="7:10" x14ac:dyDescent="0.25">
      <c r="G126" s="104"/>
      <c r="H126" s="104"/>
      <c r="I126" s="104"/>
      <c r="J126" s="104"/>
    </row>
    <row r="127" spans="7:10" ht="15.75" customHeight="1" x14ac:dyDescent="0.25">
      <c r="G127" s="104"/>
      <c r="H127" s="104"/>
      <c r="I127" s="104"/>
      <c r="J127" s="104"/>
    </row>
    <row r="128" spans="7:10" ht="15.75" customHeight="1" x14ac:dyDescent="0.25">
      <c r="G128" s="104"/>
      <c r="H128" s="104"/>
      <c r="I128" s="104"/>
      <c r="J128" s="104"/>
    </row>
    <row r="129" spans="7:10" ht="15.75" customHeight="1" x14ac:dyDescent="0.25">
      <c r="G129" s="104"/>
      <c r="H129" s="104"/>
      <c r="I129" s="104"/>
      <c r="J129" s="104"/>
    </row>
    <row r="130" spans="7:10" x14ac:dyDescent="0.25">
      <c r="G130" s="104"/>
      <c r="H130" s="104"/>
      <c r="I130" s="104"/>
      <c r="J130" s="104"/>
    </row>
    <row r="131" spans="7:10" ht="15.75" customHeight="1" x14ac:dyDescent="0.25">
      <c r="G131" s="104"/>
      <c r="H131" s="104"/>
      <c r="I131" s="104"/>
      <c r="J131" s="104"/>
    </row>
    <row r="132" spans="7:10" x14ac:dyDescent="0.25">
      <c r="G132" s="104"/>
      <c r="H132" s="104"/>
      <c r="I132" s="104"/>
      <c r="J132" s="104"/>
    </row>
    <row r="133" spans="7:10" x14ac:dyDescent="0.25">
      <c r="G133" s="104"/>
      <c r="H133" s="104"/>
      <c r="I133" s="104"/>
      <c r="J133" s="104"/>
    </row>
    <row r="134" spans="7:10" x14ac:dyDescent="0.25">
      <c r="G134" s="104"/>
      <c r="H134" s="104"/>
      <c r="I134" s="104"/>
      <c r="J134" s="104"/>
    </row>
    <row r="135" spans="7:10" ht="15.75" customHeight="1" x14ac:dyDescent="0.25">
      <c r="G135" s="104"/>
      <c r="H135" s="104"/>
      <c r="I135" s="104"/>
      <c r="J135" s="104"/>
    </row>
    <row r="136" spans="7:10" x14ac:dyDescent="0.25">
      <c r="G136" s="104"/>
      <c r="H136" s="104"/>
      <c r="I136" s="104"/>
      <c r="J136" s="104"/>
    </row>
    <row r="137" spans="7:10" ht="15.75" customHeight="1" x14ac:dyDescent="0.25">
      <c r="G137" s="104"/>
      <c r="H137" s="104"/>
      <c r="I137" s="104"/>
      <c r="J137" s="104"/>
    </row>
    <row r="138" spans="7:10" ht="15.75" customHeight="1" x14ac:dyDescent="0.25">
      <c r="G138" s="104"/>
      <c r="H138" s="104"/>
      <c r="I138" s="104"/>
      <c r="J138" s="104"/>
    </row>
    <row r="139" spans="7:10" x14ac:dyDescent="0.25">
      <c r="G139" s="104"/>
      <c r="H139" s="104"/>
      <c r="I139" s="104"/>
      <c r="J139" s="104"/>
    </row>
    <row r="140" spans="7:10" x14ac:dyDescent="0.25">
      <c r="G140" s="104"/>
      <c r="H140" s="104"/>
      <c r="I140" s="104"/>
      <c r="J140" s="104"/>
    </row>
    <row r="141" spans="7:10" ht="15.75" customHeight="1" x14ac:dyDescent="0.25">
      <c r="G141" s="104"/>
      <c r="H141" s="104"/>
      <c r="I141" s="104"/>
      <c r="J141" s="104"/>
    </row>
    <row r="142" spans="7:10" ht="15.75" customHeight="1" x14ac:dyDescent="0.25">
      <c r="G142" s="104"/>
      <c r="H142" s="104"/>
      <c r="I142" s="104"/>
      <c r="J142" s="104"/>
    </row>
    <row r="143" spans="7:10" x14ac:dyDescent="0.25">
      <c r="G143" s="104"/>
      <c r="H143" s="104"/>
      <c r="I143" s="104"/>
      <c r="J143" s="104"/>
    </row>
    <row r="144" spans="7:10" ht="16.5" customHeight="1" x14ac:dyDescent="0.25">
      <c r="G144" s="104"/>
      <c r="H144" s="104"/>
      <c r="I144" s="104"/>
      <c r="J144" s="104"/>
    </row>
    <row r="145" spans="7:10" x14ac:dyDescent="0.25">
      <c r="G145" s="104"/>
      <c r="H145" s="104"/>
      <c r="I145" s="104"/>
      <c r="J145" s="104"/>
    </row>
    <row r="146" spans="7:10" ht="15.75" customHeight="1" x14ac:dyDescent="0.25">
      <c r="G146" s="104"/>
      <c r="H146" s="104"/>
      <c r="I146" s="104"/>
      <c r="J146" s="104"/>
    </row>
    <row r="147" spans="7:10" x14ac:dyDescent="0.25">
      <c r="G147" s="104"/>
      <c r="H147" s="104"/>
      <c r="I147" s="104"/>
      <c r="J147" s="104"/>
    </row>
    <row r="148" spans="7:10" x14ac:dyDescent="0.25">
      <c r="G148" s="104"/>
      <c r="H148" s="104"/>
      <c r="I148" s="104"/>
      <c r="J148" s="104"/>
    </row>
    <row r="149" spans="7:10" x14ac:dyDescent="0.25">
      <c r="G149" s="104"/>
      <c r="H149" s="104"/>
      <c r="I149" s="104"/>
      <c r="J149" s="104"/>
    </row>
    <row r="150" spans="7:10" ht="15" customHeight="1" x14ac:dyDescent="0.25">
      <c r="G150" s="104"/>
      <c r="H150" s="104"/>
      <c r="I150" s="104"/>
      <c r="J150" s="104"/>
    </row>
    <row r="151" spans="7:10" ht="15" customHeight="1" x14ac:dyDescent="0.25">
      <c r="G151" s="104"/>
      <c r="H151" s="104"/>
      <c r="I151" s="104"/>
      <c r="J151" s="104"/>
    </row>
    <row r="186" spans="15:15" x14ac:dyDescent="0.25">
      <c r="O186" s="1" t="s">
        <v>68</v>
      </c>
    </row>
  </sheetData>
  <sheetProtection algorithmName="SHA-512" hashValue="VeaCUrs0Jaq7W89U0c8kMBB4zvJYJG5tEcfG7bc2LDGXW9zzg/cjHdiEs/tqiCqJkWQ5DbrcC1dhekXsAOpmpQ==" saltValue="wtAWs0nH9Fc5P/HI3NPOIg==" spinCount="100000" sheet="1" objects="1" scenarios="1"/>
  <mergeCells count="110">
    <mergeCell ref="E56:H56"/>
    <mergeCell ref="M56:P56"/>
    <mergeCell ref="E57:H57"/>
    <mergeCell ref="M57:P57"/>
    <mergeCell ref="B48:C48"/>
    <mergeCell ref="E48:J48"/>
    <mergeCell ref="M48:P49"/>
    <mergeCell ref="B49:C49"/>
    <mergeCell ref="E49:J55"/>
    <mergeCell ref="B50:C50"/>
    <mergeCell ref="M50:P50"/>
    <mergeCell ref="M51:P51"/>
    <mergeCell ref="M52:P52"/>
    <mergeCell ref="B46:C46"/>
    <mergeCell ref="E46:E47"/>
    <mergeCell ref="F46:I47"/>
    <mergeCell ref="J46:J47"/>
    <mergeCell ref="M46:N46"/>
    <mergeCell ref="O46:P46"/>
    <mergeCell ref="B47:C47"/>
    <mergeCell ref="M47:N47"/>
    <mergeCell ref="O47:P47"/>
    <mergeCell ref="B44:C44"/>
    <mergeCell ref="E44:E45"/>
    <mergeCell ref="F44:I45"/>
    <mergeCell ref="J44:J45"/>
    <mergeCell ref="M44:N44"/>
    <mergeCell ref="B45:C45"/>
    <mergeCell ref="M45:N45"/>
    <mergeCell ref="E40:J40"/>
    <mergeCell ref="M40:O40"/>
    <mergeCell ref="E41:J41"/>
    <mergeCell ref="M41:P41"/>
    <mergeCell ref="E42:E43"/>
    <mergeCell ref="F42:I43"/>
    <mergeCell ref="J42:J43"/>
    <mergeCell ref="M42:P42"/>
    <mergeCell ref="M43:N43"/>
    <mergeCell ref="O43:P43"/>
    <mergeCell ref="B38:C38"/>
    <mergeCell ref="E38:F38"/>
    <mergeCell ref="G38:H38"/>
    <mergeCell ref="I38:J38"/>
    <mergeCell ref="M38:O38"/>
    <mergeCell ref="B39:C39"/>
    <mergeCell ref="E39:F39"/>
    <mergeCell ref="G39:H39"/>
    <mergeCell ref="I39:J39"/>
    <mergeCell ref="M39:O39"/>
    <mergeCell ref="E35:J35"/>
    <mergeCell ref="M35:N35"/>
    <mergeCell ref="E36:F36"/>
    <mergeCell ref="M36:O36"/>
    <mergeCell ref="E37:F37"/>
    <mergeCell ref="M37:O37"/>
    <mergeCell ref="E32:J32"/>
    <mergeCell ref="M32:N32"/>
    <mergeCell ref="E33:F33"/>
    <mergeCell ref="M33:N33"/>
    <mergeCell ref="E34:F34"/>
    <mergeCell ref="M34:N34"/>
    <mergeCell ref="E29:J29"/>
    <mergeCell ref="M29:N29"/>
    <mergeCell ref="E30:F30"/>
    <mergeCell ref="M30:N30"/>
    <mergeCell ref="E31:F31"/>
    <mergeCell ref="M31:N31"/>
    <mergeCell ref="E26:F26"/>
    <mergeCell ref="M26:N26"/>
    <mergeCell ref="E27:F27"/>
    <mergeCell ref="M27:N27"/>
    <mergeCell ref="E28:F28"/>
    <mergeCell ref="M28:N28"/>
    <mergeCell ref="E23:J23"/>
    <mergeCell ref="M23:N23"/>
    <mergeCell ref="E24:F24"/>
    <mergeCell ref="M24:N24"/>
    <mergeCell ref="E25:F25"/>
    <mergeCell ref="M25:N25"/>
    <mergeCell ref="E20:F20"/>
    <mergeCell ref="M20:N20"/>
    <mergeCell ref="E21:F21"/>
    <mergeCell ref="M21:N21"/>
    <mergeCell ref="E22:F22"/>
    <mergeCell ref="M22:N22"/>
    <mergeCell ref="E16:F16"/>
    <mergeCell ref="M16:N16"/>
    <mergeCell ref="E17:J17"/>
    <mergeCell ref="M17:N17"/>
    <mergeCell ref="M18:N18"/>
    <mergeCell ref="E19:J19"/>
    <mergeCell ref="M19:N19"/>
    <mergeCell ref="E13:F13"/>
    <mergeCell ref="M13:N13"/>
    <mergeCell ref="E14:F14"/>
    <mergeCell ref="M14:N14"/>
    <mergeCell ref="E15:F15"/>
    <mergeCell ref="M15:N15"/>
    <mergeCell ref="E12:F12"/>
    <mergeCell ref="M12:N12"/>
    <mergeCell ref="B6:C7"/>
    <mergeCell ref="E6:J7"/>
    <mergeCell ref="M6:P7"/>
    <mergeCell ref="B8:C8"/>
    <mergeCell ref="B9:C9"/>
    <mergeCell ref="E9:J9"/>
    <mergeCell ref="E10:F10"/>
    <mergeCell ref="M10:N10"/>
    <mergeCell ref="E11:F11"/>
    <mergeCell ref="M11:N11"/>
  </mergeCells>
  <conditionalFormatting sqref="A6:A50 G10:J10 E8:J8 B40">
    <cfRule type="containsText" dxfId="140" priority="39" operator="containsText" text="n/a">
      <formula>NOT(ISERROR(SEARCH("n/a",A6)))</formula>
    </cfRule>
  </conditionalFormatting>
  <conditionalFormatting sqref="B8">
    <cfRule type="containsText" dxfId="139" priority="46" operator="containsText" text="n/a">
      <formula>NOT(ISERROR(SEARCH("n/a",B8)))</formula>
    </cfRule>
  </conditionalFormatting>
  <conditionalFormatting sqref="B10:C10">
    <cfRule type="containsText" dxfId="138" priority="45" operator="containsText" text="n/a">
      <formula>NOT(ISERROR(SEARCH("n/a",B10)))</formula>
    </cfRule>
  </conditionalFormatting>
  <conditionalFormatting sqref="C13:C29">
    <cfRule type="containsErrors" dxfId="137" priority="48">
      <formula>ISERROR(C13)</formula>
    </cfRule>
  </conditionalFormatting>
  <conditionalFormatting sqref="E9:E10">
    <cfRule type="containsText" dxfId="136" priority="40" operator="containsText" text="n/a">
      <formula>NOT(ISERROR(SEARCH("n/a",E9)))</formula>
    </cfRule>
  </conditionalFormatting>
  <conditionalFormatting sqref="E17:E22">
    <cfRule type="containsText" dxfId="135" priority="32" operator="containsText" text="n/a">
      <formula>NOT(ISERROR(SEARCH("n/a",E17)))</formula>
    </cfRule>
  </conditionalFormatting>
  <conditionalFormatting sqref="G11:J16 K11:K21">
    <cfRule type="containsErrors" dxfId="134" priority="49">
      <formula>ISERROR(G11)</formula>
    </cfRule>
  </conditionalFormatting>
  <conditionalFormatting sqref="G11:J16 K9:K21">
    <cfRule type="containsText" dxfId="133" priority="47" operator="containsText" text="n/a">
      <formula>NOT(ISERROR(SEARCH("n/a",G9)))</formula>
    </cfRule>
  </conditionalFormatting>
  <conditionalFormatting sqref="M36:M39">
    <cfRule type="containsText" dxfId="132" priority="33" operator="containsText" text="Rate">
      <formula>NOT(ISERROR(SEARCH("Rate",M36)))</formula>
    </cfRule>
    <cfRule type="expression" dxfId="131" priority="34">
      <formula>Output_NetPrice_JM &lt; 99</formula>
    </cfRule>
    <cfRule type="expression" dxfId="130" priority="35">
      <formula>Output_NetPrice_ExpNR &lt; 99</formula>
    </cfRule>
  </conditionalFormatting>
  <conditionalFormatting sqref="M8:Q8">
    <cfRule type="containsText" dxfId="129" priority="41" operator="containsText" text="n/a">
      <formula>NOT(ISERROR(SEARCH("n/a",M8)))</formula>
    </cfRule>
  </conditionalFormatting>
  <conditionalFormatting sqref="P10:P35">
    <cfRule type="expression" dxfId="128" priority="31">
      <formula>P10&lt;0</formula>
    </cfRule>
    <cfRule type="containsErrors" dxfId="127" priority="50">
      <formula>ISERROR(P10)</formula>
    </cfRule>
  </conditionalFormatting>
  <conditionalFormatting sqref="P36:P39">
    <cfRule type="containsText" dxfId="126" priority="36" operator="containsText" text="Rate">
      <formula>NOT(ISERROR(SEARCH("Rate",P36)))</formula>
    </cfRule>
    <cfRule type="expression" dxfId="125" priority="37">
      <formula>Output_NetPrice_JM &lt; 99</formula>
    </cfRule>
    <cfRule type="expression" dxfId="124" priority="38">
      <formula>Output_NetPrice_ExpNR &lt; 99</formula>
    </cfRule>
  </conditionalFormatting>
  <conditionalFormatting sqref="M42:M46">
    <cfRule type="containsText" dxfId="123" priority="28" operator="containsText" text="Rate">
      <formula>NOT(ISERROR(SEARCH("Rate",M42)))</formula>
    </cfRule>
    <cfRule type="expression" dxfId="122" priority="29">
      <formula>Output_NetPrice_JM &lt; 99</formula>
    </cfRule>
    <cfRule type="expression" dxfId="121" priority="30">
      <formula>Output_NetPrice_ExpNR &lt; 99</formula>
    </cfRule>
  </conditionalFormatting>
  <conditionalFormatting sqref="O43:O45">
    <cfRule type="containsText" dxfId="120" priority="25" operator="containsText" text="Rate">
      <formula>NOT(ISERROR(SEARCH("Rate",O43)))</formula>
    </cfRule>
    <cfRule type="expression" dxfId="119" priority="26">
      <formula>Output_NetPrice_JM &lt; 99</formula>
    </cfRule>
    <cfRule type="expression" dxfId="118" priority="27">
      <formula>Output_NetPrice_ExpNR &lt; 99</formula>
    </cfRule>
  </conditionalFormatting>
  <conditionalFormatting sqref="P44:P45">
    <cfRule type="containsText" dxfId="117" priority="22" operator="containsText" text="Rate">
      <formula>NOT(ISERROR(SEARCH("Rate",P44)))</formula>
    </cfRule>
    <cfRule type="expression" dxfId="116" priority="23">
      <formula>Output_NetPrice_JM &lt; 99</formula>
    </cfRule>
    <cfRule type="expression" dxfId="115" priority="24">
      <formula>Output_NetPrice_ExpNR &lt; 99</formula>
    </cfRule>
  </conditionalFormatting>
  <conditionalFormatting sqref="E35">
    <cfRule type="containsText" dxfId="114" priority="21" operator="containsText" text="n/a">
      <formula>NOT(ISERROR(SEARCH("n/a",E35)))</formula>
    </cfRule>
  </conditionalFormatting>
  <conditionalFormatting sqref="E23">
    <cfRule type="containsText" dxfId="113" priority="20" operator="containsText" text="n/a">
      <formula>NOT(ISERROR(SEARCH("n/a",E23)))</formula>
    </cfRule>
  </conditionalFormatting>
  <conditionalFormatting sqref="E24:E25">
    <cfRule type="containsText" dxfId="112" priority="19" operator="containsText" text="n/a">
      <formula>NOT(ISERROR(SEARCH("n/a",E24)))</formula>
    </cfRule>
  </conditionalFormatting>
  <conditionalFormatting sqref="E29">
    <cfRule type="containsText" dxfId="111" priority="18" operator="containsText" text="n/a">
      <formula>NOT(ISERROR(SEARCH("n/a",E29)))</formula>
    </cfRule>
  </conditionalFormatting>
  <conditionalFormatting sqref="B38:B39">
    <cfRule type="containsText" dxfId="110" priority="17" operator="containsText" text="n/a">
      <formula>NOT(ISERROR(SEARCH("n/a",B38)))</formula>
    </cfRule>
  </conditionalFormatting>
  <conditionalFormatting sqref="B41:C41">
    <cfRule type="containsText" dxfId="109" priority="16" operator="containsText" text="n/a">
      <formula>NOT(ISERROR(SEARCH("n/a",B41)))</formula>
    </cfRule>
  </conditionalFormatting>
  <conditionalFormatting sqref="E32">
    <cfRule type="containsText" dxfId="108" priority="15" operator="containsText" text="n/a">
      <formula>NOT(ISERROR(SEARCH("n/a",E32)))</formula>
    </cfRule>
  </conditionalFormatting>
  <conditionalFormatting sqref="E41">
    <cfRule type="containsText" dxfId="107" priority="14" operator="containsText" text="n/a">
      <formula>NOT(ISERROR(SEARCH("n/a",E41)))</formula>
    </cfRule>
  </conditionalFormatting>
  <conditionalFormatting sqref="E38:E39">
    <cfRule type="containsText" dxfId="106" priority="13" operator="containsText" text="n/a">
      <formula>NOT(ISERROR(SEARCH("n/a",E38)))</formula>
    </cfRule>
  </conditionalFormatting>
  <conditionalFormatting sqref="G38:G39 I38:I39">
    <cfRule type="containsText" dxfId="105" priority="12" operator="containsText" text="n/a">
      <formula>NOT(ISERROR(SEARCH("n/a",G38)))</formula>
    </cfRule>
  </conditionalFormatting>
  <conditionalFormatting sqref="E48">
    <cfRule type="containsText" dxfId="104" priority="11" operator="containsText" text="n/a">
      <formula>NOT(ISERROR(SEARCH("n/a",E48)))</formula>
    </cfRule>
  </conditionalFormatting>
  <conditionalFormatting sqref="B44:B45">
    <cfRule type="containsText" dxfId="103" priority="10" operator="containsText" text="n/a">
      <formula>NOT(ISERROR(SEARCH("n/a",B44)))</formula>
    </cfRule>
  </conditionalFormatting>
  <conditionalFormatting sqref="B47">
    <cfRule type="containsText" dxfId="102" priority="9" operator="containsText" text="n/a">
      <formula>NOT(ISERROR(SEARCH("n/a",B47)))</formula>
    </cfRule>
  </conditionalFormatting>
  <conditionalFormatting sqref="B49">
    <cfRule type="containsText" dxfId="101" priority="8" operator="containsText" text="n/a">
      <formula>NOT(ISERROR(SEARCH("n/a",B49)))</formula>
    </cfRule>
  </conditionalFormatting>
  <conditionalFormatting sqref="O10">
    <cfRule type="containsText" dxfId="100" priority="2" operator="containsText" text="Rate">
      <formula>NOT(ISERROR(SEARCH("Rate",O10)))</formula>
    </cfRule>
    <cfRule type="expression" dxfId="99" priority="3">
      <formula>Output_NetPrice_JM &lt; 99</formula>
    </cfRule>
    <cfRule type="expression" dxfId="98" priority="4">
      <formula>Output_NetPrice_ExpNR &lt; 99</formula>
    </cfRule>
  </conditionalFormatting>
  <conditionalFormatting sqref="B46">
    <cfRule type="containsErrors" dxfId="97" priority="1">
      <formula>ISERROR(B46)</formula>
    </cfRule>
  </conditionalFormatting>
  <hyperlinks>
    <hyperlink ref="B50:C50" r:id="rId1" display="Click Here" xr:uid="{9098F5F2-C31C-41F2-ACDD-0A3AF09C3331}"/>
  </hyperlinks>
  <pageMargins left="0.7" right="0.7" top="0.75" bottom="0.75" header="0.3" footer="0.3"/>
  <pageSetup scale="38" orientation="portrait" r:id="rId2"/>
  <rowBreaks count="1" manualBreakCount="1">
    <brk id="61" max="16383" man="1"/>
  </rowBreaks>
  <drawing r:id="rId3"/>
  <extLst>
    <ext xmlns:x14="http://schemas.microsoft.com/office/spreadsheetml/2009/9/main" uri="{CCE6A557-97BC-4b89-ADB6-D9C93CAAB3DF}">
      <x14:dataValidations xmlns:xm="http://schemas.microsoft.com/office/excel/2006/main" count="23">
        <x14:dataValidation type="list" allowBlank="1" showInputMessage="1" showErrorMessage="1" xr:uid="{E05FBF77-0A2D-4BAA-B605-AEDD4939EE50}">
          <x14:formula1>
            <xm:f>'Feed(CoreFlex)'!$G$2:$G$7</xm:f>
          </x14:formula1>
          <xm:sqref>O21</xm:sqref>
        </x14:dataValidation>
        <x14:dataValidation type="list" allowBlank="1" showInputMessage="1" showErrorMessage="1" xr:uid="{C0918899-EA67-4622-B761-0FDE9B032EC6}">
          <x14:formula1>
            <xm:f>'Feed(CoreFlex)'!$K$2:$K$6</xm:f>
          </x14:formula1>
          <xm:sqref>O24</xm:sqref>
        </x14:dataValidation>
        <x14:dataValidation type="list" allowBlank="1" showInputMessage="1" showErrorMessage="1" xr:uid="{2F25E50A-FE24-4DC9-9432-17C351CF731B}">
          <x14:formula1>
            <xm:f>'Feed(CoreFlex)'!$S$2:$S$4</xm:f>
          </x14:formula1>
          <xm:sqref>O32</xm:sqref>
        </x14:dataValidation>
        <x14:dataValidation type="list" allowBlank="1" showInputMessage="1" showErrorMessage="1" xr:uid="{C949A87B-1B83-4183-872F-AFF035682CDB}">
          <x14:formula1>
            <xm:f>'Feed(CoreFlex)'!$R$2:$R$5</xm:f>
          </x14:formula1>
          <xm:sqref>O31</xm:sqref>
        </x14:dataValidation>
        <x14:dataValidation type="list" allowBlank="1" showInputMessage="1" showErrorMessage="1" xr:uid="{7C716A4C-2588-4B04-B9C5-3C9D1098B59D}">
          <x14:formula1>
            <xm:f>'Feed(CoreFlex)'!$N$2:$N$6</xm:f>
          </x14:formula1>
          <xm:sqref>O30</xm:sqref>
        </x14:dataValidation>
        <x14:dataValidation type="list" allowBlank="1" showInputMessage="1" showErrorMessage="1" xr:uid="{553EB5E0-7965-45FA-BE0D-BA4BFC98325C}">
          <x14:formula1>
            <xm:f>'Feed(CoreFlex)'!$T$2:$T$10</xm:f>
          </x14:formula1>
          <xm:sqref>O29</xm:sqref>
        </x14:dataValidation>
        <x14:dataValidation type="list" allowBlank="1" showInputMessage="1" showErrorMessage="1" xr:uid="{57953DDD-0AF5-42B1-8E8B-D0498E818ACD}">
          <x14:formula1>
            <xm:f>'Feed(WS)'!$J$14:$J$16</xm:f>
          </x14:formula1>
          <xm:sqref>O28</xm:sqref>
        </x14:dataValidation>
        <x14:dataValidation type="list" allowBlank="1" showInputMessage="1" showErrorMessage="1" xr:uid="{CBEF1775-86F0-4712-BAB8-F22B677545E5}">
          <x14:formula1>
            <xm:f>'Feed(CoreFlex)'!$I$2:$I$4</xm:f>
          </x14:formula1>
          <xm:sqref>O26</xm:sqref>
        </x14:dataValidation>
        <x14:dataValidation type="list" allowBlank="1" showInputMessage="1" showErrorMessage="1" xr:uid="{D80AE328-5685-44F3-B9D3-701EC6FF8E26}">
          <x14:formula1>
            <xm:f>'Feed(CoreFlex)'!$M$2:$M$3</xm:f>
          </x14:formula1>
          <xm:sqref>O25</xm:sqref>
        </x14:dataValidation>
        <x14:dataValidation type="list" allowBlank="1" showInputMessage="1" showErrorMessage="1" xr:uid="{3EEBD3FB-C25F-486C-8872-C39C537B8C5D}">
          <x14:formula1>
            <xm:f>'Feed(CoreFlex)'!$L$2:$L$3</xm:f>
          </x14:formula1>
          <xm:sqref>O23</xm:sqref>
        </x14:dataValidation>
        <x14:dataValidation type="list" allowBlank="1" showInputMessage="1" showErrorMessage="1" xr:uid="{73BB2722-4DEB-40AA-B519-C1C4D2E36FFC}">
          <x14:formula1>
            <xm:f>'Feed(CoreFlex)'!$J$2:$J$5</xm:f>
          </x14:formula1>
          <xm:sqref>O22</xm:sqref>
        </x14:dataValidation>
        <x14:dataValidation type="list" allowBlank="1" showInputMessage="1" showErrorMessage="1" xr:uid="{931849B8-65B4-42EF-A7ED-4B4C69FD8C15}">
          <x14:formula1>
            <xm:f>'Feed(CoreFlex)'!$F$2:$F$4</xm:f>
          </x14:formula1>
          <xm:sqref>O20</xm:sqref>
        </x14:dataValidation>
        <x14:dataValidation type="list" allowBlank="1" showInputMessage="1" showErrorMessage="1" xr:uid="{A9945CD5-2547-426D-9987-6CB49669226A}">
          <x14:formula1>
            <xm:f>'Feed(CoreFlex)'!$P$2:$P$4</xm:f>
          </x14:formula1>
          <xm:sqref>O19</xm:sqref>
        </x14:dataValidation>
        <x14:dataValidation type="list" allowBlank="1" showInputMessage="1" showErrorMessage="1" xr:uid="{1DE60ED4-0B54-43DE-96CD-C74B110B0B1F}">
          <x14:formula1>
            <xm:f>'Feed(CoreFlex)'!$E$2:$E$10</xm:f>
          </x14:formula1>
          <xm:sqref>O18</xm:sqref>
        </x14:dataValidation>
        <x14:dataValidation type="list" allowBlank="1" showInputMessage="1" showErrorMessage="1" xr:uid="{610FE736-CF9B-4C5E-B505-1B116EC649F3}">
          <x14:formula1>
            <xm:f>'Feed(CoreFlex)'!$D$2:$D$3</xm:f>
          </x14:formula1>
          <xm:sqref>O17</xm:sqref>
        </x14:dataValidation>
        <x14:dataValidation type="list" allowBlank="1" showInputMessage="1" showErrorMessage="1" xr:uid="{699AC825-9034-42DC-A5EE-D07F8F2B0E0E}">
          <x14:formula1>
            <xm:f>'Feed(CoreFlex)'!$C$2</xm:f>
          </x14:formula1>
          <xm:sqref>O13</xm:sqref>
        </x14:dataValidation>
        <x14:dataValidation type="list" allowBlank="1" showInputMessage="1" showErrorMessage="1" xr:uid="{52B7496E-7C3D-4F65-BF2D-93F2DA01A8EC}">
          <x14:formula1>
            <xm:f>'Feed(CoreFlex)'!$A$2:$A$8</xm:f>
          </x14:formula1>
          <xm:sqref>O12</xm:sqref>
        </x14:dataValidation>
        <x14:dataValidation type="list" allowBlank="1" showInputMessage="1" showErrorMessage="1" xr:uid="{709ECBBA-17C8-4CAE-82A4-E8595F2F98E3}">
          <x14:formula1>
            <xm:f>'Feed(CoreFlex)'!$B$2:$B$6</xm:f>
          </x14:formula1>
          <xm:sqref>O11</xm:sqref>
        </x14:dataValidation>
        <x14:dataValidation type="list" allowBlank="1" showInputMessage="1" showErrorMessage="1" xr:uid="{23ED92AE-47B4-42CE-AD8E-71459291C39A}">
          <x14:formula1>
            <xm:f>'Feed(CoreFlex)'!$N$60:$N$100</xm:f>
          </x14:formula1>
          <xm:sqref>O10</xm:sqref>
        </x14:dataValidation>
        <x14:dataValidation type="list" allowBlank="1" showInputMessage="1" showErrorMessage="1" xr:uid="{1D79E6F5-D019-45B5-A1BE-0F1A2C6B359E}">
          <x14:formula1>
            <xm:f>'Feed(CoreFlex)'!$U$2:$U$4</xm:f>
          </x14:formula1>
          <xm:sqref>O14</xm:sqref>
        </x14:dataValidation>
        <x14:dataValidation type="list" allowBlank="1" showInputMessage="1" showErrorMessage="1" xr:uid="{DF4324B3-8344-4106-868A-25BAAB65FF43}">
          <x14:formula1>
            <xm:f>'Feed(CoreFlex)'!$V$2:$V$4</xm:f>
          </x14:formula1>
          <xm:sqref>O15</xm:sqref>
        </x14:dataValidation>
        <x14:dataValidation type="list" allowBlank="1" showInputMessage="1" showErrorMessage="1" xr:uid="{9BA24665-E519-47EB-9CAB-34B598B3E370}">
          <x14:formula1>
            <xm:f>'Feed(CoreFlex)'!$W$2:$W$4</xm:f>
          </x14:formula1>
          <xm:sqref>O16</xm:sqref>
        </x14:dataValidation>
        <x14:dataValidation type="list" allowBlank="1" showInputMessage="1" showErrorMessage="1" xr:uid="{C65DB8DA-753A-45C5-BD9F-93B3AEDDEF4F}">
          <x14:formula1>
            <xm:f>'Feed(CoreFlex)'!$B$141:$B$143</xm:f>
          </x14:formula1>
          <xm:sqref>O34</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939EBB-FE08-46A6-9643-C3D0BC0CFC2A}">
  <sheetPr codeName="Sheet2">
    <tabColor theme="4" tint="-0.499984740745262"/>
  </sheetPr>
  <dimension ref="A1:AV218"/>
  <sheetViews>
    <sheetView showGridLines="0" zoomScale="85" zoomScaleNormal="85" workbookViewId="0">
      <selection activeCell="Z1" sqref="Z1"/>
    </sheetView>
  </sheetViews>
  <sheetFormatPr defaultColWidth="9.140625" defaultRowHeight="15" x14ac:dyDescent="0.25"/>
  <cols>
    <col min="1" max="1" width="29.7109375" style="162" customWidth="1"/>
    <col min="2" max="3" width="22.7109375" style="162" customWidth="1"/>
    <col min="4" max="4" width="20" style="162" customWidth="1"/>
    <col min="5" max="5" width="27.140625" style="162" bestFit="1" customWidth="1"/>
    <col min="6" max="6" width="35" style="162" bestFit="1" customWidth="1"/>
    <col min="7" max="7" width="21.42578125" style="162" bestFit="1" customWidth="1"/>
    <col min="8" max="8" width="30.28515625" style="162" customWidth="1"/>
    <col min="9" max="9" width="21.28515625" style="162" customWidth="1"/>
    <col min="10" max="10" width="26.42578125" style="162" bestFit="1" customWidth="1"/>
    <col min="11" max="11" width="18" style="162" bestFit="1" customWidth="1"/>
    <col min="12" max="12" width="32.140625" style="162" bestFit="1" customWidth="1"/>
    <col min="13" max="13" width="19" style="162" bestFit="1" customWidth="1"/>
    <col min="14" max="14" width="43.5703125" style="162" customWidth="1"/>
    <col min="15" max="15" width="25.5703125" style="189" bestFit="1" customWidth="1"/>
    <col min="16" max="16" width="20.140625" style="189" bestFit="1" customWidth="1"/>
    <col min="17" max="17" width="37.85546875" style="162" bestFit="1" customWidth="1"/>
    <col min="18" max="18" width="26.42578125" style="162" customWidth="1"/>
    <col min="19" max="19" width="67.42578125" style="174" bestFit="1" customWidth="1"/>
    <col min="20" max="20" width="19.42578125" style="174" bestFit="1" customWidth="1"/>
    <col min="21" max="21" width="38.28515625" style="174" bestFit="1" customWidth="1"/>
    <col min="22" max="22" width="45" style="174" customWidth="1"/>
    <col min="23" max="23" width="62.28515625" style="174" bestFit="1" customWidth="1"/>
    <col min="24" max="24" width="37.5703125" style="174" bestFit="1" customWidth="1"/>
    <col min="25" max="25" width="40.7109375" style="174" bestFit="1" customWidth="1"/>
    <col min="26" max="26" width="37.5703125" style="174" bestFit="1" customWidth="1"/>
    <col min="27" max="27" width="70.5703125" style="174" bestFit="1" customWidth="1"/>
    <col min="28" max="28" width="37.5703125" style="174" bestFit="1" customWidth="1"/>
    <col min="29" max="29" width="45.42578125" style="174" customWidth="1"/>
    <col min="30" max="30" width="14.7109375" style="174" bestFit="1" customWidth="1"/>
    <col min="31" max="31" width="16" style="162" bestFit="1" customWidth="1"/>
    <col min="32" max="32" width="9.140625" style="162"/>
    <col min="33" max="33" width="28.42578125" style="162" customWidth="1"/>
    <col min="34" max="34" width="35.42578125" style="162" customWidth="1"/>
    <col min="35" max="35" width="40.42578125" style="162" bestFit="1" customWidth="1"/>
    <col min="36" max="36" width="9.140625" style="162"/>
    <col min="37" max="37" width="21.7109375" style="162" bestFit="1" customWidth="1"/>
    <col min="38" max="38" width="9.140625" style="162"/>
    <col min="39" max="39" width="36.28515625" style="162" bestFit="1" customWidth="1"/>
    <col min="40" max="16384" width="9.140625" style="162"/>
  </cols>
  <sheetData>
    <row r="1" spans="1:31" x14ac:dyDescent="0.25">
      <c r="A1" s="165" t="s">
        <v>198</v>
      </c>
      <c r="B1" s="165" t="s">
        <v>199</v>
      </c>
      <c r="C1" s="165" t="s">
        <v>28</v>
      </c>
      <c r="D1" s="165" t="s">
        <v>40</v>
      </c>
      <c r="E1" s="165" t="s">
        <v>42</v>
      </c>
      <c r="F1" s="165" t="s">
        <v>46</v>
      </c>
      <c r="G1" s="165" t="s">
        <v>79</v>
      </c>
      <c r="H1" s="165" t="s">
        <v>200</v>
      </c>
      <c r="I1" s="165" t="s">
        <v>201</v>
      </c>
      <c r="J1" s="165" t="s">
        <v>48</v>
      </c>
      <c r="K1" s="165" t="s">
        <v>51</v>
      </c>
      <c r="L1" s="165" t="s">
        <v>50</v>
      </c>
      <c r="M1" s="165" t="s">
        <v>202</v>
      </c>
      <c r="N1" s="165" t="s">
        <v>203</v>
      </c>
      <c r="O1" s="497" t="s">
        <v>204</v>
      </c>
      <c r="P1" s="497" t="s">
        <v>44</v>
      </c>
      <c r="Q1" s="165" t="s">
        <v>205</v>
      </c>
      <c r="R1" s="166" t="s">
        <v>67</v>
      </c>
      <c r="S1" s="166" t="s">
        <v>70</v>
      </c>
      <c r="T1" s="165" t="s">
        <v>63</v>
      </c>
      <c r="U1" s="167"/>
      <c r="V1" s="168" t="s">
        <v>206</v>
      </c>
      <c r="W1" s="169"/>
      <c r="X1" s="170" t="str" cm="1">
        <f t="array" ref="X1">IF(AND(OR(NonQM!U11=B9:B11),OR(NonQM!U23=L4:L6)),V4,V3)</f>
        <v>Not Applicable</v>
      </c>
      <c r="Y1" s="168" t="s">
        <v>207</v>
      </c>
      <c r="Z1" s="468" t="b" cm="1">
        <f t="array" ref="Z1">IF(AND(OR(NonQM!U17=D3:D4),OR(NonQM!U22=J3:J7)),0.25)</f>
        <v>0</v>
      </c>
      <c r="AA1" s="171" t="s">
        <v>208</v>
      </c>
      <c r="AB1" s="162"/>
      <c r="AC1" s="162"/>
      <c r="AD1" s="162"/>
    </row>
    <row r="2" spans="1:31" x14ac:dyDescent="0.25">
      <c r="A2" s="172" t="s">
        <v>32</v>
      </c>
      <c r="B2" s="172" t="s">
        <v>32</v>
      </c>
      <c r="C2" s="172" t="s">
        <v>32</v>
      </c>
      <c r="D2" s="172" t="s">
        <v>32</v>
      </c>
      <c r="E2" s="172" t="s">
        <v>32</v>
      </c>
      <c r="F2" s="172" t="s">
        <v>32</v>
      </c>
      <c r="G2" s="172" t="s">
        <v>32</v>
      </c>
      <c r="H2" s="172" t="s">
        <v>32</v>
      </c>
      <c r="I2" s="172" t="s">
        <v>32</v>
      </c>
      <c r="J2" s="172" t="s">
        <v>32</v>
      </c>
      <c r="K2" s="172" t="s">
        <v>32</v>
      </c>
      <c r="L2" s="172" t="s">
        <v>32</v>
      </c>
      <c r="M2" s="172" t="s">
        <v>32</v>
      </c>
      <c r="N2" s="172" t="s">
        <v>32</v>
      </c>
      <c r="O2" s="498" t="s">
        <v>32</v>
      </c>
      <c r="P2" s="498" t="s">
        <v>32</v>
      </c>
      <c r="Q2" s="172" t="s">
        <v>32</v>
      </c>
      <c r="R2" s="172" t="s">
        <v>32</v>
      </c>
      <c r="S2" s="172" t="s">
        <v>32</v>
      </c>
      <c r="T2" s="172" t="s">
        <v>32</v>
      </c>
      <c r="U2" s="173"/>
      <c r="V2" s="168" t="s">
        <v>209</v>
      </c>
      <c r="W2" s="169"/>
      <c r="X2" s="170" t="str" cm="1">
        <f t="array" ref="X2">IF(AND(OR(NonQM!U11=B3:B8),OR(NonQM!U13=C3:C4),OR(NonQM!U23=L4:L6)),V4,V3)</f>
        <v>Not Applicable</v>
      </c>
      <c r="Y2" s="168"/>
      <c r="Z2" s="170"/>
      <c r="AA2" s="180"/>
      <c r="AC2" s="162"/>
      <c r="AD2" s="162"/>
    </row>
    <row r="3" spans="1:31" x14ac:dyDescent="0.25">
      <c r="A3" s="162" t="s">
        <v>23</v>
      </c>
      <c r="B3" s="172" t="s">
        <v>13</v>
      </c>
      <c r="C3" s="172" t="s">
        <v>49</v>
      </c>
      <c r="D3" s="175" t="s">
        <v>210</v>
      </c>
      <c r="E3" s="172" t="s">
        <v>211</v>
      </c>
      <c r="F3" s="172" t="s">
        <v>212</v>
      </c>
      <c r="G3" s="172" t="s">
        <v>81</v>
      </c>
      <c r="H3" s="172" t="s">
        <v>103</v>
      </c>
      <c r="I3" s="172" t="s">
        <v>57</v>
      </c>
      <c r="J3" t="s">
        <v>69</v>
      </c>
      <c r="K3" s="172" t="s">
        <v>213</v>
      </c>
      <c r="L3" s="172" t="s">
        <v>214</v>
      </c>
      <c r="M3" s="172" t="s">
        <v>136</v>
      </c>
      <c r="N3" s="172" t="s">
        <v>215</v>
      </c>
      <c r="O3" s="498" t="s">
        <v>216</v>
      </c>
      <c r="P3" s="498" t="s">
        <v>217</v>
      </c>
      <c r="Q3" s="172" t="s">
        <v>218</v>
      </c>
      <c r="R3" s="172" t="s">
        <v>68</v>
      </c>
      <c r="S3" s="172" t="s">
        <v>68</v>
      </c>
      <c r="T3" s="172" t="s">
        <v>227</v>
      </c>
      <c r="U3" s="173"/>
      <c r="V3" s="176" t="s">
        <v>75</v>
      </c>
      <c r="W3" s="169"/>
      <c r="X3" s="169"/>
      <c r="Y3" s="168" t="s">
        <v>220</v>
      </c>
      <c r="Z3" s="170" cm="1">
        <f t="array" ref="Z3">IF(AND(OR(NonQM!U12=A9:A12),OR(NonQM!U22=J5:J7)),VLOOKUP($Y$3,NonQM!$G$26:$I$82,3,FALSE),0)</f>
        <v>0</v>
      </c>
      <c r="AA3" s="169" t="s">
        <v>220</v>
      </c>
      <c r="AB3" s="162"/>
      <c r="AC3" s="162"/>
      <c r="AD3" s="162"/>
    </row>
    <row r="4" spans="1:31" x14ac:dyDescent="0.25">
      <c r="A4" s="162" t="s">
        <v>25</v>
      </c>
      <c r="B4" s="172" t="s">
        <v>14</v>
      </c>
      <c r="C4" s="172" t="s">
        <v>29</v>
      </c>
      <c r="D4" s="175" t="s">
        <v>221</v>
      </c>
      <c r="E4" s="175" t="s">
        <v>60</v>
      </c>
      <c r="F4" s="172" t="s">
        <v>222</v>
      </c>
      <c r="G4" s="162" t="s">
        <v>83</v>
      </c>
      <c r="H4" s="172" t="s">
        <v>108</v>
      </c>
      <c r="I4" s="172" t="s">
        <v>152</v>
      </c>
      <c r="J4" t="s">
        <v>71</v>
      </c>
      <c r="K4" s="172" t="s">
        <v>100</v>
      </c>
      <c r="L4" s="172" t="s">
        <v>98</v>
      </c>
      <c r="M4" s="172" t="s">
        <v>54</v>
      </c>
      <c r="N4" s="172" t="s">
        <v>66</v>
      </c>
      <c r="O4" s="498"/>
      <c r="P4" s="498" t="s">
        <v>223</v>
      </c>
      <c r="Q4" s="172" t="s">
        <v>224</v>
      </c>
      <c r="R4" s="178" t="s">
        <v>225</v>
      </c>
      <c r="S4" s="179" t="s">
        <v>226</v>
      </c>
      <c r="T4" s="172" t="s">
        <v>219</v>
      </c>
      <c r="U4" s="173"/>
      <c r="V4" s="176" t="s">
        <v>226</v>
      </c>
      <c r="W4" s="169"/>
      <c r="X4" s="169"/>
      <c r="Y4" s="176" t="s">
        <v>75</v>
      </c>
      <c r="Z4" s="169"/>
      <c r="AA4" s="180" t="s">
        <v>228</v>
      </c>
      <c r="AB4"/>
      <c r="AC4"/>
      <c r="AD4" s="162"/>
    </row>
    <row r="5" spans="1:31" ht="15.75" thickBot="1" x14ac:dyDescent="0.3">
      <c r="A5" s="162" t="s">
        <v>27</v>
      </c>
      <c r="B5" s="172" t="s">
        <v>15</v>
      </c>
      <c r="C5" s="401" t="s">
        <v>180</v>
      </c>
      <c r="D5" s="401" t="s">
        <v>177</v>
      </c>
      <c r="E5" s="175" t="s">
        <v>58</v>
      </c>
      <c r="F5" s="172" t="s">
        <v>229</v>
      </c>
      <c r="G5" s="172" t="s">
        <v>777</v>
      </c>
      <c r="H5" s="172" t="s">
        <v>113</v>
      </c>
      <c r="I5" s="172"/>
      <c r="J5" t="s">
        <v>76</v>
      </c>
      <c r="K5" s="172" t="s">
        <v>101</v>
      </c>
      <c r="L5" s="172" t="s">
        <v>230</v>
      </c>
      <c r="M5" s="172" t="s">
        <v>231</v>
      </c>
      <c r="N5" s="172" t="s">
        <v>107</v>
      </c>
      <c r="O5" s="498"/>
      <c r="P5" s="498" t="s">
        <v>232</v>
      </c>
      <c r="Q5" s="172" t="s">
        <v>233</v>
      </c>
      <c r="R5" s="181" t="s">
        <v>234</v>
      </c>
      <c r="S5" s="179"/>
      <c r="T5" s="172" t="s">
        <v>895</v>
      </c>
      <c r="U5" s="182"/>
      <c r="V5" s="183"/>
      <c r="W5" s="169"/>
      <c r="X5" s="180"/>
      <c r="Y5" s="176" t="s">
        <v>226</v>
      </c>
      <c r="Z5" s="169"/>
      <c r="AA5" s="169"/>
      <c r="AB5"/>
      <c r="AC5" s="174" t="s">
        <v>228</v>
      </c>
      <c r="AD5"/>
      <c r="AE5"/>
    </row>
    <row r="6" spans="1:31" x14ac:dyDescent="0.25">
      <c r="A6" s="172" t="s">
        <v>30</v>
      </c>
      <c r="B6" s="172" t="s">
        <v>16</v>
      </c>
      <c r="C6" s="401" t="s">
        <v>236</v>
      </c>
      <c r="E6" s="175" t="s">
        <v>55</v>
      </c>
      <c r="F6" s="401" t="s">
        <v>237</v>
      </c>
      <c r="G6" s="172" t="s">
        <v>778</v>
      </c>
      <c r="H6" s="172" t="s">
        <v>117</v>
      </c>
      <c r="I6" s="172"/>
      <c r="J6" t="s">
        <v>73</v>
      </c>
      <c r="K6" s="172" t="s">
        <v>238</v>
      </c>
      <c r="L6" s="172" t="s">
        <v>239</v>
      </c>
      <c r="M6" s="172" t="s">
        <v>240</v>
      </c>
      <c r="N6" s="172" t="s">
        <v>112</v>
      </c>
      <c r="O6" s="498"/>
      <c r="P6" s="498" t="s">
        <v>158</v>
      </c>
      <c r="Q6" s="172"/>
      <c r="R6" s="172"/>
      <c r="S6" s="179"/>
      <c r="T6" s="172" t="s">
        <v>235</v>
      </c>
      <c r="U6"/>
      <c r="W6"/>
      <c r="X6"/>
      <c r="Y6"/>
      <c r="AA6"/>
      <c r="AB6"/>
      <c r="AC6" s="174" t="s">
        <v>228</v>
      </c>
      <c r="AD6"/>
      <c r="AE6"/>
    </row>
    <row r="7" spans="1:31" x14ac:dyDescent="0.25">
      <c r="A7" s="172" t="s">
        <v>33</v>
      </c>
      <c r="B7" s="172" t="s">
        <v>17</v>
      </c>
      <c r="C7" s="401" t="s">
        <v>242</v>
      </c>
      <c r="D7" s="172"/>
      <c r="E7" s="175" t="s">
        <v>62</v>
      </c>
      <c r="G7" s="172" t="s">
        <v>87</v>
      </c>
      <c r="H7" s="184" t="s">
        <v>122</v>
      </c>
      <c r="I7" s="172"/>
      <c r="J7" t="s">
        <v>77</v>
      </c>
      <c r="K7" s="162" t="s">
        <v>243</v>
      </c>
      <c r="L7" s="172"/>
      <c r="M7" s="172" t="s">
        <v>141</v>
      </c>
      <c r="N7" s="172" t="s">
        <v>244</v>
      </c>
      <c r="O7" s="498"/>
      <c r="P7" s="498" t="s">
        <v>205</v>
      </c>
      <c r="Q7" s="172"/>
      <c r="R7" s="165"/>
      <c r="S7"/>
      <c r="T7" s="172" t="s">
        <v>252</v>
      </c>
      <c r="U7" s="172"/>
      <c r="W7"/>
      <c r="X7" t="s">
        <v>246</v>
      </c>
      <c r="Y7"/>
      <c r="Z7" t="s">
        <v>664</v>
      </c>
      <c r="AA7"/>
      <c r="AB7"/>
      <c r="AC7" s="174" t="s">
        <v>228</v>
      </c>
      <c r="AD7"/>
      <c r="AE7"/>
    </row>
    <row r="8" spans="1:31" x14ac:dyDescent="0.25">
      <c r="A8" s="172" t="s">
        <v>36</v>
      </c>
      <c r="B8" s="172" t="s">
        <v>18</v>
      </c>
      <c r="C8" s="401" t="s">
        <v>183</v>
      </c>
      <c r="D8" s="172"/>
      <c r="E8" s="172" t="s">
        <v>64</v>
      </c>
      <c r="G8" s="172" t="s">
        <v>88</v>
      </c>
      <c r="H8" s="184" t="s">
        <v>126</v>
      </c>
      <c r="I8" s="172"/>
      <c r="J8" s="172"/>
      <c r="K8" s="172" t="s">
        <v>99</v>
      </c>
      <c r="L8" s="172"/>
      <c r="M8" s="172" t="s">
        <v>143</v>
      </c>
      <c r="N8" s="172"/>
      <c r="O8" s="498"/>
      <c r="P8" s="498"/>
      <c r="Q8" s="172"/>
      <c r="R8" s="172"/>
      <c r="S8"/>
      <c r="T8" s="172" t="s">
        <v>188</v>
      </c>
      <c r="U8" s="172"/>
      <c r="V8"/>
      <c r="W8"/>
      <c r="X8" t="s">
        <v>248</v>
      </c>
      <c r="Y8"/>
      <c r="Z8" t="s">
        <v>665</v>
      </c>
      <c r="AA8"/>
      <c r="AB8"/>
      <c r="AC8" s="174" t="s">
        <v>228</v>
      </c>
      <c r="AD8"/>
      <c r="AE8"/>
    </row>
    <row r="9" spans="1:31" x14ac:dyDescent="0.25">
      <c r="A9" s="172" t="s">
        <v>39</v>
      </c>
      <c r="B9" s="172" t="s">
        <v>19</v>
      </c>
      <c r="C9" s="397" t="s">
        <v>184</v>
      </c>
      <c r="D9" s="172"/>
      <c r="E9" s="162" t="s">
        <v>739</v>
      </c>
      <c r="F9" s="172"/>
      <c r="G9" s="172" t="s">
        <v>90</v>
      </c>
      <c r="H9" s="172" t="s">
        <v>130</v>
      </c>
      <c r="I9" s="172"/>
      <c r="J9" s="172"/>
      <c r="K9" s="172" t="s">
        <v>249</v>
      </c>
      <c r="L9" s="172"/>
      <c r="M9" s="172" t="s">
        <v>250</v>
      </c>
      <c r="N9" s="172"/>
      <c r="O9" s="498"/>
      <c r="P9" s="498"/>
      <c r="Q9" s="172"/>
      <c r="R9" s="172"/>
      <c r="S9"/>
      <c r="T9" s="172" t="s">
        <v>189</v>
      </c>
      <c r="U9" s="172"/>
      <c r="V9"/>
      <c r="W9"/>
      <c r="X9"/>
      <c r="Y9"/>
      <c r="Z9"/>
      <c r="AA9"/>
      <c r="AB9"/>
      <c r="AC9" s="174" t="s">
        <v>228</v>
      </c>
      <c r="AD9"/>
      <c r="AE9"/>
    </row>
    <row r="10" spans="1:31" x14ac:dyDescent="0.25">
      <c r="A10" s="172" t="s">
        <v>41</v>
      </c>
      <c r="B10" s="172" t="s">
        <v>20</v>
      </c>
      <c r="C10" s="397" t="s">
        <v>185</v>
      </c>
      <c r="D10" s="179"/>
      <c r="E10" s="175" t="s">
        <v>187</v>
      </c>
      <c r="F10" s="172"/>
      <c r="G10" s="172" t="s">
        <v>91</v>
      </c>
      <c r="H10" s="172" t="s">
        <v>132</v>
      </c>
      <c r="I10" s="172"/>
      <c r="J10" s="172"/>
      <c r="K10" s="162" t="s">
        <v>821</v>
      </c>
      <c r="L10" s="172"/>
      <c r="M10" s="172" t="s">
        <v>145</v>
      </c>
      <c r="N10" s="172"/>
      <c r="O10" s="498"/>
      <c r="P10" s="498"/>
      <c r="Q10" s="172"/>
      <c r="R10" s="172"/>
      <c r="S10"/>
      <c r="T10" s="172" t="s">
        <v>190</v>
      </c>
      <c r="U10" s="172"/>
      <c r="V10"/>
      <c r="W10"/>
      <c r="X10"/>
      <c r="Y10"/>
      <c r="Z10"/>
      <c r="AA10"/>
      <c r="AB10"/>
      <c r="AC10" s="174" t="s">
        <v>228</v>
      </c>
      <c r="AD10"/>
      <c r="AE10"/>
    </row>
    <row r="11" spans="1:31" x14ac:dyDescent="0.25">
      <c r="A11" s="172" t="s">
        <v>43</v>
      </c>
      <c r="B11" s="172" t="s">
        <v>21</v>
      </c>
      <c r="D11" s="179"/>
      <c r="E11" s="172"/>
      <c r="F11" s="172"/>
      <c r="G11" s="172" t="s">
        <v>92</v>
      </c>
      <c r="H11" s="172" t="s">
        <v>134</v>
      </c>
      <c r="I11" s="172"/>
      <c r="J11" s="177"/>
      <c r="L11" s="172"/>
      <c r="M11" s="172" t="s">
        <v>148</v>
      </c>
      <c r="N11" s="172"/>
      <c r="O11" s="498"/>
      <c r="P11" s="498"/>
      <c r="Q11" s="172"/>
      <c r="R11" s="172"/>
      <c r="S11" s="179"/>
      <c r="T11" s="172" t="s">
        <v>241</v>
      </c>
      <c r="U11" s="172"/>
      <c r="V11"/>
      <c r="W11"/>
      <c r="X11"/>
      <c r="Y11"/>
      <c r="Z11"/>
      <c r="AA11"/>
      <c r="AB11"/>
      <c r="AD11"/>
      <c r="AE11"/>
    </row>
    <row r="12" spans="1:31" x14ac:dyDescent="0.25">
      <c r="A12" s="172" t="s">
        <v>45</v>
      </c>
      <c r="B12" s="172"/>
      <c r="C12" s="172"/>
      <c r="D12" s="179"/>
      <c r="E12" s="172"/>
      <c r="G12" s="172" t="s">
        <v>93</v>
      </c>
      <c r="H12" s="172" t="s">
        <v>137</v>
      </c>
      <c r="I12" s="172"/>
      <c r="J12" s="177"/>
      <c r="L12" s="172"/>
      <c r="M12" s="172" t="s">
        <v>253</v>
      </c>
      <c r="N12" s="172"/>
      <c r="O12" s="498"/>
      <c r="P12" s="498"/>
      <c r="Q12" s="172"/>
      <c r="R12" s="172"/>
      <c r="S12" s="179"/>
      <c r="T12" s="172" t="s">
        <v>245</v>
      </c>
      <c r="U12" s="172"/>
      <c r="V12"/>
      <c r="W12"/>
      <c r="X12"/>
      <c r="Y12"/>
      <c r="Z12"/>
      <c r="AA12"/>
      <c r="AB12"/>
      <c r="AC12" s="174" t="s">
        <v>228</v>
      </c>
      <c r="AD12"/>
    </row>
    <row r="13" spans="1:31" x14ac:dyDescent="0.25">
      <c r="B13" s="172"/>
      <c r="C13" s="172" t="s">
        <v>31</v>
      </c>
      <c r="D13" s="172" t="s">
        <v>34</v>
      </c>
      <c r="E13" s="172" t="s">
        <v>37</v>
      </c>
      <c r="G13" s="172" t="s">
        <v>94</v>
      </c>
      <c r="H13" s="162" t="s">
        <v>139</v>
      </c>
      <c r="I13" s="172"/>
      <c r="J13" s="186" t="s">
        <v>254</v>
      </c>
      <c r="K13" s="172"/>
      <c r="L13" s="172"/>
      <c r="M13" s="172" t="s">
        <v>151</v>
      </c>
      <c r="N13" s="172"/>
      <c r="O13" s="498"/>
      <c r="P13" s="498"/>
      <c r="Q13" s="172"/>
      <c r="R13" s="172"/>
      <c r="S13" s="179"/>
      <c r="T13" s="172" t="s">
        <v>251</v>
      </c>
      <c r="U13"/>
      <c r="V13"/>
      <c r="W13"/>
      <c r="X13"/>
      <c r="Y13"/>
      <c r="Z13"/>
      <c r="AA13"/>
      <c r="AB13"/>
      <c r="AC13" s="174" t="s">
        <v>228</v>
      </c>
    </row>
    <row r="14" spans="1:31" x14ac:dyDescent="0.25">
      <c r="C14" s="172" t="s">
        <v>32</v>
      </c>
      <c r="D14" s="172" t="s">
        <v>32</v>
      </c>
      <c r="E14" s="172" t="s">
        <v>32</v>
      </c>
      <c r="G14" s="432" t="s">
        <v>255</v>
      </c>
      <c r="H14" s="162" t="s">
        <v>142</v>
      </c>
      <c r="R14" s="187"/>
      <c r="S14" s="187"/>
      <c r="T14" s="172" t="s">
        <v>192</v>
      </c>
      <c r="U14" s="187"/>
      <c r="V14" s="187"/>
      <c r="W14" s="187"/>
      <c r="X14" s="187"/>
      <c r="Y14" s="187"/>
      <c r="Z14" s="187"/>
      <c r="AA14" s="187"/>
      <c r="AB14" s="187"/>
    </row>
    <row r="15" spans="1:31" x14ac:dyDescent="0.25">
      <c r="C15" s="162" t="s">
        <v>256</v>
      </c>
      <c r="D15" s="162" t="s">
        <v>35</v>
      </c>
      <c r="E15" s="162" t="s">
        <v>172</v>
      </c>
      <c r="G15" s="397" t="s">
        <v>32</v>
      </c>
      <c r="J15" s="189" t="s">
        <v>257</v>
      </c>
      <c r="R15" s="187"/>
      <c r="S15" s="187"/>
      <c r="T15" s="172" t="s">
        <v>247</v>
      </c>
      <c r="U15" s="187"/>
      <c r="V15" s="187"/>
      <c r="W15" s="187"/>
      <c r="X15" s="187"/>
      <c r="Y15" s="187"/>
      <c r="Z15" s="187"/>
      <c r="AA15" s="187"/>
      <c r="AB15" s="187"/>
    </row>
    <row r="16" spans="1:31" x14ac:dyDescent="0.25">
      <c r="A16" s="181" t="s">
        <v>258</v>
      </c>
      <c r="C16" s="162" t="s">
        <v>259</v>
      </c>
      <c r="D16" s="162" t="s">
        <v>167</v>
      </c>
      <c r="E16" s="162" t="s">
        <v>173</v>
      </c>
      <c r="G16" s="433" t="s">
        <v>68</v>
      </c>
      <c r="J16" s="189" t="s">
        <v>260</v>
      </c>
      <c r="R16" s="187"/>
      <c r="S16" s="187"/>
      <c r="T16" s="172" t="s">
        <v>193</v>
      </c>
      <c r="U16" s="187"/>
      <c r="V16" s="187"/>
      <c r="W16" s="187"/>
      <c r="X16" s="187"/>
      <c r="Y16" s="187"/>
      <c r="Z16" s="187"/>
      <c r="AA16" s="187"/>
      <c r="AB16" s="187"/>
    </row>
    <row r="17" spans="1:29" x14ac:dyDescent="0.25">
      <c r="A17" s="190" t="s">
        <v>261</v>
      </c>
      <c r="C17" s="162" t="s">
        <v>262</v>
      </c>
      <c r="D17" s="162" t="s">
        <v>263</v>
      </c>
      <c r="E17" s="162" t="s">
        <v>174</v>
      </c>
      <c r="G17" s="433" t="s">
        <v>226</v>
      </c>
      <c r="H17" s="185" t="s">
        <v>264</v>
      </c>
      <c r="N17" s="172"/>
      <c r="R17" s="187"/>
      <c r="S17" s="187"/>
      <c r="T17" s="172" t="s">
        <v>194</v>
      </c>
      <c r="U17" s="187"/>
      <c r="V17" s="187"/>
      <c r="W17" s="187"/>
      <c r="X17" s="187"/>
      <c r="Y17" s="187"/>
      <c r="Z17" s="187"/>
      <c r="AA17" s="187"/>
      <c r="AB17" s="187"/>
    </row>
    <row r="18" spans="1:29" x14ac:dyDescent="0.25">
      <c r="C18" s="162" t="s">
        <v>265</v>
      </c>
      <c r="D18" s="162" t="s">
        <v>169</v>
      </c>
      <c r="E18" s="162" t="s">
        <v>175</v>
      </c>
      <c r="N18"/>
      <c r="R18" s="187"/>
      <c r="S18" s="187"/>
      <c r="T18" s="187"/>
      <c r="U18" s="187"/>
      <c r="V18" s="187"/>
      <c r="W18" s="187"/>
      <c r="X18" s="187"/>
      <c r="Y18" s="187"/>
      <c r="Z18" s="187"/>
      <c r="AA18" s="187"/>
      <c r="AB18" s="187"/>
    </row>
    <row r="19" spans="1:29" x14ac:dyDescent="0.25">
      <c r="D19" s="162" t="s">
        <v>170</v>
      </c>
      <c r="E19" s="162" t="s">
        <v>38</v>
      </c>
      <c r="H19" s="188" t="s">
        <v>68</v>
      </c>
      <c r="N19"/>
      <c r="R19" s="187"/>
      <c r="S19" s="187"/>
      <c r="T19" s="187"/>
      <c r="U19" s="187"/>
      <c r="V19" s="187"/>
      <c r="W19" s="187"/>
      <c r="X19" s="187"/>
      <c r="Y19" s="187"/>
      <c r="Z19" s="187"/>
      <c r="AA19" s="187"/>
      <c r="AB19" s="187"/>
    </row>
    <row r="20" spans="1:29" x14ac:dyDescent="0.25">
      <c r="D20" s="162" t="s">
        <v>171</v>
      </c>
      <c r="H20" s="188" t="s">
        <v>226</v>
      </c>
      <c r="N20"/>
      <c r="R20" s="187"/>
      <c r="S20" s="187"/>
      <c r="T20" s="187"/>
      <c r="U20" s="187"/>
      <c r="V20" s="187"/>
      <c r="W20" s="187"/>
      <c r="X20" s="187"/>
      <c r="Y20" s="187"/>
      <c r="Z20" s="187"/>
      <c r="AA20" s="187"/>
      <c r="AB20" s="187"/>
    </row>
    <row r="21" spans="1:29" x14ac:dyDescent="0.25">
      <c r="N21"/>
      <c r="R21" s="187"/>
      <c r="S21" s="187"/>
      <c r="T21" s="187"/>
      <c r="U21" s="187"/>
      <c r="V21" s="187"/>
      <c r="W21" s="187"/>
      <c r="X21" s="187"/>
      <c r="Y21" s="187"/>
      <c r="Z21" s="187"/>
      <c r="AA21" s="187"/>
      <c r="AB21" s="187"/>
    </row>
    <row r="22" spans="1:29" x14ac:dyDescent="0.25">
      <c r="E22"/>
      <c r="F22"/>
      <c r="G22"/>
      <c r="I22"/>
      <c r="J22"/>
      <c r="N22"/>
      <c r="S22"/>
      <c r="U22"/>
      <c r="V22"/>
      <c r="W22"/>
      <c r="X22"/>
      <c r="Y22"/>
      <c r="Z22"/>
      <c r="AA22"/>
      <c r="AB22"/>
      <c r="AC22" s="174" t="s">
        <v>228</v>
      </c>
    </row>
    <row r="23" spans="1:29" x14ac:dyDescent="0.25">
      <c r="E23"/>
      <c r="F23"/>
      <c r="G23"/>
      <c r="J23"/>
      <c r="S23"/>
      <c r="U23"/>
      <c r="V23"/>
      <c r="W23"/>
      <c r="X23"/>
      <c r="Y23"/>
      <c r="Z23"/>
      <c r="AA23"/>
      <c r="AB23"/>
      <c r="AC23" s="174" t="s">
        <v>228</v>
      </c>
    </row>
    <row r="24" spans="1:29" x14ac:dyDescent="0.25">
      <c r="E24"/>
      <c r="F24"/>
      <c r="G24"/>
      <c r="J24"/>
      <c r="S24"/>
      <c r="U24"/>
      <c r="V24"/>
      <c r="W24"/>
      <c r="X24"/>
      <c r="Y24"/>
      <c r="Z24"/>
      <c r="AA24"/>
      <c r="AB24"/>
      <c r="AC24" s="174" t="s">
        <v>228</v>
      </c>
    </row>
    <row r="25" spans="1:29" x14ac:dyDescent="0.25">
      <c r="E25"/>
      <c r="F25"/>
      <c r="G25"/>
      <c r="J25"/>
      <c r="P25" s="499"/>
      <c r="S25"/>
      <c r="U25"/>
      <c r="V25"/>
      <c r="W25"/>
      <c r="X25"/>
      <c r="Y25"/>
      <c r="Z25"/>
      <c r="AA25"/>
      <c r="AB25"/>
      <c r="AC25" s="174" t="s">
        <v>228</v>
      </c>
    </row>
    <row r="26" spans="1:29" x14ac:dyDescent="0.25">
      <c r="E26"/>
      <c r="F26"/>
      <c r="G26"/>
      <c r="J26"/>
      <c r="S26"/>
      <c r="U26"/>
      <c r="V26"/>
      <c r="W26"/>
      <c r="X26"/>
      <c r="Y26"/>
      <c r="Z26"/>
      <c r="AA26"/>
      <c r="AB26"/>
      <c r="AC26" s="174" t="s">
        <v>228</v>
      </c>
    </row>
    <row r="27" spans="1:29" x14ac:dyDescent="0.25">
      <c r="E27"/>
      <c r="F27"/>
      <c r="G27"/>
      <c r="I27" s="190"/>
      <c r="S27"/>
      <c r="U27"/>
      <c r="V27"/>
      <c r="W27"/>
      <c r="X27"/>
      <c r="Y27"/>
      <c r="Z27"/>
      <c r="AA27"/>
      <c r="AB27"/>
      <c r="AC27" s="174" t="s">
        <v>228</v>
      </c>
    </row>
    <row r="28" spans="1:29" x14ac:dyDescent="0.25">
      <c r="E28"/>
      <c r="F28"/>
      <c r="G28"/>
      <c r="H28"/>
      <c r="S28"/>
      <c r="U28"/>
      <c r="V28"/>
      <c r="W28"/>
      <c r="X28"/>
      <c r="Y28"/>
      <c r="Z28"/>
      <c r="AA28"/>
      <c r="AB28"/>
      <c r="AC28" s="174" t="s">
        <v>228</v>
      </c>
    </row>
    <row r="29" spans="1:29" x14ac:dyDescent="0.25">
      <c r="A29" s="165" t="s">
        <v>266</v>
      </c>
      <c r="B29" s="172"/>
      <c r="F29"/>
      <c r="G29"/>
      <c r="H29"/>
      <c r="S29"/>
      <c r="U29"/>
      <c r="V29"/>
      <c r="W29"/>
      <c r="X29"/>
      <c r="Y29"/>
      <c r="Z29"/>
      <c r="AA29"/>
      <c r="AB29"/>
      <c r="AC29" s="174" t="s">
        <v>228</v>
      </c>
    </row>
    <row r="30" spans="1:29" x14ac:dyDescent="0.25">
      <c r="A30" s="172" t="s">
        <v>267</v>
      </c>
      <c r="B30" s="172" t="b" cm="1">
        <f t="array" ref="B30">IF(AND(OR(NonQM!U11='Feed(WS)'!B6:B11),NonQM!U13="No Ratio (0.75-0.99)"),TRUE,FALSE)</f>
        <v>0</v>
      </c>
      <c r="F30"/>
      <c r="G30"/>
      <c r="H30"/>
      <c r="S30"/>
      <c r="U30"/>
      <c r="V30" t="s">
        <v>657</v>
      </c>
      <c r="W30"/>
      <c r="X30"/>
      <c r="Y30"/>
      <c r="Z30"/>
      <c r="AA30"/>
      <c r="AB30"/>
      <c r="AC30" s="174" t="s">
        <v>228</v>
      </c>
    </row>
    <row r="31" spans="1:29" x14ac:dyDescent="0.25">
      <c r="A31" s="172"/>
      <c r="B31" s="172"/>
      <c r="S31"/>
      <c r="U31"/>
      <c r="V31" t="s">
        <v>659</v>
      </c>
      <c r="W31"/>
      <c r="X31"/>
      <c r="Y31"/>
      <c r="Z31"/>
      <c r="AA31"/>
      <c r="AB31"/>
      <c r="AC31" s="174" t="s">
        <v>228</v>
      </c>
    </row>
    <row r="32" spans="1:29" x14ac:dyDescent="0.25">
      <c r="A32" s="172"/>
      <c r="B32" s="172"/>
      <c r="S32"/>
      <c r="U32"/>
      <c r="V32" t="s">
        <v>659</v>
      </c>
      <c r="W32"/>
      <c r="X32"/>
      <c r="Y32"/>
      <c r="Z32"/>
      <c r="AA32"/>
      <c r="AB32"/>
      <c r="AC32" s="174" t="s">
        <v>228</v>
      </c>
    </row>
    <row r="33" spans="1:42" x14ac:dyDescent="0.25">
      <c r="A33"/>
      <c r="B33"/>
      <c r="N33" s="191"/>
      <c r="S33"/>
      <c r="U33"/>
      <c r="V33"/>
      <c r="W33"/>
      <c r="X33"/>
      <c r="Y33"/>
      <c r="Z33"/>
      <c r="AA33"/>
      <c r="AB33"/>
      <c r="AC33" s="174" t="s">
        <v>228</v>
      </c>
    </row>
    <row r="34" spans="1:42" x14ac:dyDescent="0.25">
      <c r="A34"/>
      <c r="B34"/>
      <c r="N34" s="191"/>
      <c r="S34"/>
      <c r="U34"/>
      <c r="V34"/>
      <c r="W34"/>
      <c r="X34"/>
      <c r="Y34"/>
      <c r="Z34"/>
      <c r="AA34"/>
      <c r="AB34"/>
      <c r="AC34" s="174" t="s">
        <v>228</v>
      </c>
    </row>
    <row r="35" spans="1:42" x14ac:dyDescent="0.25">
      <c r="O35" s="499"/>
      <c r="P35" s="499"/>
      <c r="Q35"/>
      <c r="R35"/>
      <c r="S35"/>
      <c r="T35"/>
      <c r="U35"/>
      <c r="V35"/>
      <c r="W35"/>
      <c r="X35"/>
      <c r="Y35"/>
      <c r="Z35"/>
      <c r="AA35"/>
      <c r="AB35"/>
      <c r="AC35" s="174" t="s">
        <v>228</v>
      </c>
    </row>
    <row r="36" spans="1:42" x14ac:dyDescent="0.25">
      <c r="L36"/>
      <c r="O36" s="499"/>
      <c r="P36" s="499"/>
      <c r="Q36"/>
      <c r="R36"/>
      <c r="S36"/>
      <c r="T36"/>
      <c r="U36" s="192" t="s">
        <v>268</v>
      </c>
      <c r="V36"/>
      <c r="W36"/>
      <c r="X36"/>
      <c r="Y36" s="192" t="s">
        <v>269</v>
      </c>
      <c r="Z36"/>
      <c r="AA36"/>
      <c r="AB36"/>
    </row>
    <row r="37" spans="1:42" x14ac:dyDescent="0.25">
      <c r="F37" s="192" t="s">
        <v>270</v>
      </c>
      <c r="L37" s="192" t="s">
        <v>271</v>
      </c>
      <c r="O37" s="499"/>
      <c r="P37" s="499"/>
      <c r="Q37" s="192" t="s">
        <v>272</v>
      </c>
      <c r="R37"/>
      <c r="S37"/>
      <c r="T37"/>
      <c r="U37" s="162" t="s">
        <v>273</v>
      </c>
      <c r="V37" s="223" t="str">
        <f>IF(AND(
   ISNUMBER(MATCH(NonQM!$U$12, $A$3:$A$7, 0)),
   ISNUMBER(MATCH(NonQM!$U$11, $B$11, 0)),
   ISNUMBER(MATCH(NonQM!$U$15, $D$16, 0)),
   ISNUMBER(MATCH(NonQM!$U$22, $J$3:$J$5, 0)),
   ISNUMBER(MATCH(NonQM!$U$21, $G$5:$G$7, 0)),
   NonQM!$U$13 = $C$4
), NA(), "")</f>
        <v/>
      </c>
      <c r="W37" s="162" t="s">
        <v>274</v>
      </c>
      <c r="Y37" s="162" t="s">
        <v>273</v>
      </c>
      <c r="Z37" s="223" t="str">
        <f>IF(AND(
   ISNUMBER(MATCH(NonQM!$U$12, $A$3:$A$7, 0)),
   ISNUMBER(MATCH(NonQM!$U$11, $B$10:$B$11, 0)),
   ISNUMBER(MATCH(NonQM!$U$15, $D$18, 0)),
   ISNUMBER(MATCH(NonQM!$U$22, $J$3:$J$5, 0)),
   ISNUMBER(MATCH(NonQM!$U$21, $G$5:$G$7, 0)),
   NonQM!$U$13 = $C$4
), NA(), "")</f>
        <v/>
      </c>
      <c r="AA37" s="162" t="s">
        <v>275</v>
      </c>
      <c r="AG37" s="192" t="s">
        <v>276</v>
      </c>
      <c r="AH37"/>
      <c r="AI37"/>
      <c r="AJ37"/>
      <c r="AK37" s="192" t="s">
        <v>277</v>
      </c>
      <c r="AL37"/>
      <c r="AM37"/>
      <c r="AN37"/>
      <c r="AO37" s="174" t="s">
        <v>228</v>
      </c>
      <c r="AP37" s="174"/>
    </row>
    <row r="38" spans="1:42" x14ac:dyDescent="0.25">
      <c r="A38" s="193" t="s">
        <v>278</v>
      </c>
      <c r="C38" s="172"/>
      <c r="D38" s="172"/>
      <c r="F38" s="162" t="s">
        <v>279</v>
      </c>
      <c r="G38" s="223" t="str" cm="1">
        <f t="array" ref="G38">IF(AND(OR(NonQM!U15=D15:D18),NonQM!U13=C3),NA(),"")</f>
        <v/>
      </c>
      <c r="H38" s="162" t="s">
        <v>280</v>
      </c>
      <c r="L38" s="162" t="s">
        <v>281</v>
      </c>
      <c r="M38" s="223"/>
      <c r="N38" s="162" t="s">
        <v>282</v>
      </c>
      <c r="O38" s="499"/>
      <c r="P38" s="499"/>
      <c r="Q38" s="162" t="s">
        <v>283</v>
      </c>
      <c r="R38" s="223" t="str" cm="1">
        <f t="array" ref="R38">IF(AND(NonQM!U12=A8,OR(NonQM!U21=G8:G13),OR(NonQM!U11=B10:B11),OR(NonQM!U22=J3),NonQM!U13=C4),NA(),"")</f>
        <v/>
      </c>
      <c r="S38" s="162" t="s">
        <v>658</v>
      </c>
      <c r="T38"/>
      <c r="U38" s="162" t="s">
        <v>273</v>
      </c>
      <c r="V38" s="223" t="str">
        <f>IF(AND(
   ISNUMBER(MATCH(NonQM!$U$12, $A$8, 0)),
   ISNUMBER(MATCH(NonQM!$U$11, $B$10:$B$11, 0)),
   ISNUMBER(MATCH(NonQM!$U$15, $D$16, 0)),
   ISNUMBER(MATCH(NonQM!$U$22, $J$3, 0)),
   ISNUMBER(MATCH(NonQM!$U$21, $G$5:$G$7, 0)),
   NonQM!$U$13 = $C$4
), NA(), "")</f>
        <v/>
      </c>
      <c r="W38" s="162" t="s">
        <v>285</v>
      </c>
      <c r="Y38" s="162" t="s">
        <v>273</v>
      </c>
      <c r="Z38" s="223" t="str">
        <f>IF(AND(
   ISNUMBER(MATCH(NonQM!$U$12, $A$8, 0)),
   ISNUMBER(MATCH(NonQM!$U$11, $B$9:$B$11, 0)),
   ISNUMBER(MATCH(NonQM!$U$15, $D$18, 0)),
   ISNUMBER(MATCH(NonQM!$U$22, $J$3:$J$5, 0)),
   ISNUMBER(MATCH(NonQM!$U$21, $G$5:$G$7, 0)),
   NonQM!$U$13 = $C$4
), NA(), "")</f>
        <v/>
      </c>
      <c r="AA38" s="162" t="s">
        <v>286</v>
      </c>
      <c r="AG38" t="s">
        <v>287</v>
      </c>
      <c r="AH38" s="361" t="str">
        <f>IF(AND(
   ISNUMBER(MATCH(NonQM!$U$12, $C$3:$C$9, 0)),
   NonQM!$U$29 = $T$15), NA(), "")</f>
        <v/>
      </c>
      <c r="AI38" t="s">
        <v>288</v>
      </c>
      <c r="AJ38"/>
      <c r="AK38" t="s">
        <v>289</v>
      </c>
      <c r="AL38" s="361"/>
      <c r="AM38" t="s">
        <v>290</v>
      </c>
      <c r="AN38"/>
      <c r="AO38" s="174" t="s">
        <v>228</v>
      </c>
      <c r="AP38" s="174"/>
    </row>
    <row r="39" spans="1:42" x14ac:dyDescent="0.25">
      <c r="A39" s="183" t="s">
        <v>158</v>
      </c>
      <c r="B39" s="575" t="str">
        <f>IF(AND(NonQM!U19='Feed(WS)'!P6,NonQM!U11=B11),NA(),"")</f>
        <v/>
      </c>
      <c r="C39" s="172" t="s">
        <v>291</v>
      </c>
      <c r="D39" s="172"/>
      <c r="F39" s="162" t="s">
        <v>292</v>
      </c>
      <c r="G39" s="223" t="str" cm="1">
        <f t="array" ref="G39">IF(AND(OR(NonQM!U14=C15:C16),NonQM!U13=C3),NA(),"")</f>
        <v/>
      </c>
      <c r="H39" s="162" t="s">
        <v>293</v>
      </c>
      <c r="L39" s="162" t="s">
        <v>281</v>
      </c>
      <c r="M39" s="223"/>
      <c r="N39" s="162" t="s">
        <v>294</v>
      </c>
      <c r="O39" s="499"/>
      <c r="P39" s="499"/>
      <c r="Q39" s="162" t="s">
        <v>295</v>
      </c>
      <c r="R39" s="223" t="str" cm="1">
        <f t="array" ref="R39">IF(AND(NonQM!U12=A8,OR(NonQM!U21=G8),OR(NonQM!U11=B10:B11),NonQM!U13=C4),NA(),"")</f>
        <v/>
      </c>
      <c r="S39" s="162" t="s">
        <v>296</v>
      </c>
      <c r="T39"/>
      <c r="U39" s="162" t="s">
        <v>273</v>
      </c>
      <c r="V39" s="223" t="str">
        <f>IF(AND(
   ISNUMBER(MATCH(NonQM!$U$12, $A$9:$A$12, 0)),
   ISNUMBER(MATCH(NonQM!$U$11, $B$9:$B$11, 0)),
   ISNUMBER(MATCH(NonQM!$U$15, $D$16, 0)),
   ISNUMBER(MATCH(NonQM!$U$22, $J$3:$J$5, 0)),
   ISNUMBER(MATCH(NonQM!$U$21, $G$5:$G$7, 0)),
   NonQM!$U$13 = $C$4
), NA(), "")</f>
        <v/>
      </c>
      <c r="W39" s="162" t="s">
        <v>297</v>
      </c>
      <c r="Y39" s="162" t="s">
        <v>273</v>
      </c>
      <c r="Z39" s="223" t="str">
        <f>IF(AND(
   ISNUMBER(MATCH(NonQM!$U$12, $A$9:$A$12, 0)),
   ISNUMBER(MATCH(NonQM!$U$11, $B$8:$B$11, 0)),
   ISNUMBER(MATCH(NonQM!$U$15, $D$18, 0)),
   ISNUMBER(MATCH(NonQM!$U$22, $J$3:$J$5, 0)),
   ISNUMBER(MATCH(NonQM!$U$21, $G$5:$G$7, 0)),
   NonQM!$U$13 = $C$4
), NA(), "")</f>
        <v/>
      </c>
      <c r="AA39" s="162" t="s">
        <v>298</v>
      </c>
      <c r="AG39"/>
      <c r="AH39" s="361"/>
      <c r="AI39" t="s">
        <v>299</v>
      </c>
      <c r="AJ39"/>
      <c r="AK39" t="s">
        <v>300</v>
      </c>
      <c r="AL39" s="361"/>
      <c r="AM39" t="s">
        <v>301</v>
      </c>
      <c r="AN39"/>
      <c r="AO39" s="174" t="s">
        <v>228</v>
      </c>
      <c r="AP39" s="174"/>
    </row>
    <row r="40" spans="1:42" x14ac:dyDescent="0.25">
      <c r="A40" s="183" t="s">
        <v>158</v>
      </c>
      <c r="B40" s="575" t="str" cm="1">
        <f t="array" ref="B40">IF(AND(NonQM!U19='Feed(WS)'!P6,OR(NonQM!U12='Feed(WS)'!A10:A12)),NA(),"")</f>
        <v/>
      </c>
      <c r="C40" s="172" t="s">
        <v>302</v>
      </c>
      <c r="D40" s="172"/>
      <c r="F40" s="162" t="s">
        <v>50</v>
      </c>
      <c r="G40" s="223" t="str">
        <f>IF(AND(OR(NonQM!U17=D5),NonQM!U13=C3),NA(),"")</f>
        <v/>
      </c>
      <c r="H40" s="162" t="s">
        <v>303</v>
      </c>
      <c r="L40" s="172" t="s">
        <v>177</v>
      </c>
      <c r="M40" s="223"/>
      <c r="N40" s="162" t="s">
        <v>304</v>
      </c>
      <c r="Q40" s="162" t="s">
        <v>295</v>
      </c>
      <c r="R40" s="223" t="str" cm="1">
        <f t="array" ref="R40">IF(AND(NonQM!U12=A8,OR(NonQM!U21=G9),OR(NonQM!U11=B9:B11),NonQM!U13=C4),NA(),"")</f>
        <v/>
      </c>
      <c r="S40" s="162" t="s">
        <v>305</v>
      </c>
      <c r="U40" s="162" t="s">
        <v>273</v>
      </c>
      <c r="V40" s="223" t="str">
        <f>IF(AND(
   ISNUMBER(MATCH(NonQM!$U$12, $A$3:$A$7, 0)),
   ISNUMBER(MATCH(NonQM!$U$11, $B$10:$B$11, 0)),
   ISNUMBER(MATCH(NonQM!$U$15, $D$16, 0)),
   ISNUMBER(MATCH(NonQM!$U$22, $J$3, 0)),
   ISNUMBER(MATCH(NonQM!$U$21, $G$10:$G$13, 0)),
   NonQM!$U$13 = $C$4
), NA(), "")</f>
        <v/>
      </c>
      <c r="W40" s="162" t="s">
        <v>306</v>
      </c>
      <c r="Y40" s="162" t="s">
        <v>273</v>
      </c>
      <c r="Z40" s="223" t="str">
        <f>IF(AND(
   ISNUMBER(MATCH(NonQM!$U$12, $A$3:$A$7, 0)),
   ISNUMBER(MATCH(NonQM!$U$11, $B$10:$B$11, 0)),
   ISNUMBER(MATCH(NonQM!$U$15, $D$18, 0)),
   ISNUMBER(MATCH(NonQM!$U$22, $J$3, 0)),
   ISNUMBER(MATCH(NonQM!$U$21, $G$10:$G$13, 0)),
   NonQM!$U$13 = $C$4
), NA(), "")</f>
        <v/>
      </c>
      <c r="AA40" s="162" t="s">
        <v>306</v>
      </c>
      <c r="AG40"/>
      <c r="AH40"/>
      <c r="AI40"/>
      <c r="AJ40"/>
      <c r="AK40"/>
      <c r="AL40"/>
      <c r="AM40"/>
      <c r="AN40"/>
      <c r="AO40" s="174" t="s">
        <v>228</v>
      </c>
      <c r="AP40" s="174"/>
    </row>
    <row r="41" spans="1:42" x14ac:dyDescent="0.25">
      <c r="A41" s="183" t="s">
        <v>158</v>
      </c>
      <c r="B41" s="575" t="str" cm="1">
        <f t="array" ref="B41">IF(AND(NonQM!U19='Feed(WS)'!P6,OR(NonQM!U21='Feed(WS)'!G8:G13)),NA(),"")</f>
        <v/>
      </c>
      <c r="C41" s="172" t="s">
        <v>307</v>
      </c>
      <c r="D41" s="172"/>
      <c r="F41" s="162" t="s">
        <v>50</v>
      </c>
      <c r="G41" s="223" t="str" cm="1">
        <f t="array" ref="G41">IF(AND(OR(NonQM!U23=L4),NonQM!U13=C3,OR(NonQM!U11=B9:B11)),NA(),"")</f>
        <v/>
      </c>
      <c r="H41" s="162" t="s">
        <v>308</v>
      </c>
      <c r="J41" s="172"/>
      <c r="K41" s="172"/>
      <c r="L41" s="172" t="s">
        <v>309</v>
      </c>
      <c r="M41" s="223"/>
      <c r="N41" s="162" t="s">
        <v>310</v>
      </c>
      <c r="O41" s="498"/>
      <c r="P41" s="498"/>
      <c r="Q41" s="162" t="s">
        <v>311</v>
      </c>
      <c r="R41" s="223" t="str" cm="1">
        <f t="array" ref="R41">IF(AND(NonQM!U12=A8,OR(NonQM!U21=G10),OR(NonQM!U11=B8:B11),NonQM!U13=C4),NA(),"")</f>
        <v/>
      </c>
      <c r="S41" s="162" t="s">
        <v>312</v>
      </c>
      <c r="U41" s="162" t="s">
        <v>273</v>
      </c>
      <c r="V41" s="223" t="str">
        <f>IF(AND(
   ISNUMBER(MATCH(NonQM!$U$12, $A$8, 0)),
   ISNUMBER(MATCH(NonQM!$U$11, $B$9:$B$11, 0)),
   ISNUMBER(MATCH(NonQM!$U$15, $D$16, 0)),
   ISNUMBER(MATCH(NonQM!$U$22, $J$3, 0)),
   ISNUMBER(MATCH(NonQM!$U$21, $G$10:$G$13, 0)),
   NonQM!$U$13 = $C$4
), NA(), "")</f>
        <v/>
      </c>
      <c r="W41" s="162" t="s">
        <v>313</v>
      </c>
      <c r="Y41" s="162" t="s">
        <v>273</v>
      </c>
      <c r="Z41" s="223" t="str">
        <f>IF(AND(
   ISNUMBER(MATCH(NonQM!$U$12, $A$8, 0)),
   ISNUMBER(MATCH(NonQM!$U$11, $B$9:$B$11, 0)),
   ISNUMBER(MATCH(NonQM!$U$15, $D$16, 0)),
   ISNUMBER(MATCH(NonQM!$U$22, $J$3, 0)),
   ISNUMBER(MATCH(NonQM!$U$21, $G$10:$G$13, 0)),
   NonQM!$U$13 = $C$4
), NA(), "")</f>
        <v/>
      </c>
      <c r="AA41" s="162" t="s">
        <v>313</v>
      </c>
      <c r="AG41"/>
      <c r="AH41"/>
      <c r="AI41"/>
      <c r="AJ41"/>
      <c r="AK41"/>
      <c r="AL41"/>
      <c r="AM41"/>
      <c r="AN41"/>
      <c r="AO41" s="174" t="s">
        <v>228</v>
      </c>
      <c r="AP41" s="174"/>
    </row>
    <row r="42" spans="1:42" x14ac:dyDescent="0.25">
      <c r="A42" s="183" t="s">
        <v>158</v>
      </c>
      <c r="B42" s="575" t="str" cm="1">
        <f t="array" ref="B42">IF(AND(NonQM!U19='Feed(WS)'!P6,OR(NonQM!U11=B10:B11),OR(NonQM!U23=L5:L6)),NA(),"")</f>
        <v/>
      </c>
      <c r="C42" s="172" t="s">
        <v>314</v>
      </c>
      <c r="D42" s="172"/>
      <c r="F42" s="162" t="s">
        <v>50</v>
      </c>
      <c r="G42" s="223" t="str" cm="1">
        <f t="array" ref="G42">IF(AND(OR(NonQM!U23=L5:L6),NonQM!U13=C3,OR(NonQM!U11=B9:B11)),NA(),"")</f>
        <v/>
      </c>
      <c r="H42" s="162" t="s">
        <v>315</v>
      </c>
      <c r="J42" s="172"/>
      <c r="K42" s="172"/>
      <c r="L42" s="172" t="s">
        <v>177</v>
      </c>
      <c r="M42" s="223"/>
      <c r="N42" s="162" t="s">
        <v>316</v>
      </c>
      <c r="O42" s="498"/>
      <c r="P42" s="498"/>
      <c r="Q42" s="162" t="s">
        <v>283</v>
      </c>
      <c r="R42" s="223" t="str">
        <f>IF(AND(
   ISNUMBER(MATCH(NonQM!U11, B6:B11, 0)),
   ISNUMBER(MATCH(NonQM!U21, G11:G13, 0)),
   ISNUMBER(MATCH(NonQM!U12, A7:A8, 0)),ISNUMBER(MATCH(NonQM!U22, J3:J4, 0)),
   NonQM!U13 = C4
), NA(), "")</f>
        <v/>
      </c>
      <c r="S42" s="162" t="s">
        <v>317</v>
      </c>
      <c r="U42" s="162" t="s">
        <v>273</v>
      </c>
      <c r="V42" s="223" t="str">
        <f>IF(AND(
   ISNUMBER(MATCH(NonQM!$U$12, $A$9:$A$12, 0)),
   ISNUMBER(MATCH(NonQM!$U$11, $B$8:$B$11, 0)),
   ISNUMBER(MATCH(NonQM!$U$15, $D$16, 0)),
   ISNUMBER(MATCH(NonQM!$U$22, $J$3, 0)),
   ISNUMBER(MATCH(NonQM!$U$21, $G$10:$G$13, 0)),
   NonQM!$U$13 = $C$4
), NA(), "")</f>
        <v/>
      </c>
      <c r="W42" s="162" t="s">
        <v>318</v>
      </c>
      <c r="Y42" s="162" t="s">
        <v>273</v>
      </c>
      <c r="Z42" s="223" t="str">
        <f>IF(AND(
   ISNUMBER(MATCH(NonQM!$U$12, $A$9:$A$12, 0)),
   ISNUMBER(MATCH(NonQM!$U$11, $B$8:$B$11, 0)),
   ISNUMBER(MATCH(NonQM!$U$15, $D$16, 0)),
   ISNUMBER(MATCH(NonQM!$U$22, $J$3, 0)),
   ISNUMBER(MATCH(NonQM!$U$21, $G$10:$G$13, 0)),
   NonQM!$U$13 = $C$4
), NA(), "")</f>
        <v/>
      </c>
      <c r="AA42" s="162" t="s">
        <v>318</v>
      </c>
      <c r="AG42" s="162" t="s">
        <v>319</v>
      </c>
      <c r="AH42" s="223" t="str" cm="1">
        <f t="array" ref="AH42">IF(AND(OR(NonQM!U23=L5:L6),(NonQM!U27=H3),OR(NonQM!U29='Feed(WS)'!T3)),NA(),"")</f>
        <v/>
      </c>
      <c r="AI42" s="174" t="s">
        <v>320</v>
      </c>
      <c r="AJ42" s="174"/>
      <c r="AK42" s="192"/>
      <c r="AL42" s="174"/>
      <c r="AM42" s="174"/>
      <c r="AN42" s="174"/>
      <c r="AO42" s="192"/>
      <c r="AP42" s="174"/>
    </row>
    <row r="43" spans="1:42" x14ac:dyDescent="0.25">
      <c r="A43" s="183" t="s">
        <v>321</v>
      </c>
      <c r="B43" s="575" t="str" cm="1">
        <f t="array" ref="B43">IF(AND(NonQM!U19='Feed(WS)'!P7,OR(NonQM!U12='Feed(WS)'!A8:A12)),NA(),"")</f>
        <v/>
      </c>
      <c r="C43" s="172" t="s">
        <v>322</v>
      </c>
      <c r="D43" s="172"/>
      <c r="F43" s="162" t="s">
        <v>281</v>
      </c>
      <c r="G43" s="223" t="str">
        <f>IF(AND(OR(NonQM!U24=K6),NonQM!U13=C3,OR(NonQM!U11=B11)),NA(),"")</f>
        <v/>
      </c>
      <c r="H43" s="162" t="s">
        <v>323</v>
      </c>
      <c r="J43" s="172"/>
      <c r="K43" s="172"/>
      <c r="L43" s="172" t="s">
        <v>309</v>
      </c>
      <c r="M43" s="223"/>
      <c r="N43" s="162" t="s">
        <v>324</v>
      </c>
      <c r="O43" s="498"/>
      <c r="P43" s="498"/>
      <c r="Q43" s="162" t="s">
        <v>283</v>
      </c>
      <c r="R43" s="223" t="str">
        <f>IF(AND(
   ISNUMBER(MATCH(NonQM!U11, B3:B11, 0)),
   ISNUMBER(MATCH(NonQM!U21, G12:G13, 0)),
   ISNUMBER(MATCH(NonQM!U12, A8, 0)),
   NonQM!U13 = C4
), NA(), "")</f>
        <v/>
      </c>
      <c r="S43" s="162" t="s">
        <v>325</v>
      </c>
      <c r="U43" s="162" t="s">
        <v>273</v>
      </c>
      <c r="V43" s="223" t="str">
        <f>IF(AND(
   ISNUMBER(MATCH(NonQM!$U$12, $A$3:$A$8, 0)),
   ISNUMBER(MATCH(NonQM!$U$11, $B$10:$B$11, 0)),
   ISNUMBER(MATCH(NonQM!$U$15, $D$16, 0)),
   ISNUMBER(MATCH(NonQM!$U$22, $J$4:$J$5, 0)),
   ISNUMBER(MATCH(NonQM!$U$21, $G$5:$G$7, 0)),
   NonQM!$U$13 = $C$4
), NA(), "")</f>
        <v/>
      </c>
      <c r="W43" s="162" t="s">
        <v>326</v>
      </c>
      <c r="Y43" s="162" t="s">
        <v>273</v>
      </c>
      <c r="Z43" s="223" t="str">
        <f>IF(AND(
   ISNUMBER(MATCH(NonQM!$U$12, $A$3:$A$8, 0)),
   ISNUMBER(MATCH(NonQM!$U$11, $B$10:$B$11, 0)),
   ISNUMBER(MATCH(NonQM!$U$15, $D$16, 0)),
   ISNUMBER(MATCH(NonQM!$U$22, $J$4:$J$5, 0)),
   ISNUMBER(MATCH(NonQM!$U$21, $G$5:$G$7, 0)),
   NonQM!$U$13 = $C$4
), NA(), "")</f>
        <v/>
      </c>
      <c r="AA43" s="162" t="s">
        <v>326</v>
      </c>
      <c r="AG43" s="162" t="s">
        <v>327</v>
      </c>
      <c r="AH43" s="223"/>
      <c r="AI43" s="174" t="s">
        <v>320</v>
      </c>
      <c r="AJ43" s="174"/>
      <c r="AK43" s="172"/>
      <c r="AN43" s="174"/>
      <c r="AO43" s="172"/>
    </row>
    <row r="44" spans="1:42" x14ac:dyDescent="0.25">
      <c r="A44" s="171" t="s">
        <v>328</v>
      </c>
      <c r="B44" s="576" t="str" cm="1">
        <f t="array" ref="B44">IF(AND(OR(NonQM!U29=T12:T13,NonQM!U29=T7,NonQM!U29=T15,NonQM!U29=T3),OR(NonQM!U27=H4:H10),OR(NonQM!U23=L5:L6)),NA(),"")</f>
        <v/>
      </c>
      <c r="C44" s="162" t="s">
        <v>329</v>
      </c>
      <c r="D44" s="172"/>
      <c r="F44" s="162" t="s">
        <v>281</v>
      </c>
      <c r="G44" s="223" t="str">
        <f>IF(AND(OR(NonQM!U24=K8),NonQM!U13=C3),NA(),"")</f>
        <v/>
      </c>
      <c r="H44" s="162" t="s">
        <v>330</v>
      </c>
      <c r="J44" s="172"/>
      <c r="K44" s="172"/>
      <c r="L44" s="172" t="s">
        <v>331</v>
      </c>
      <c r="M44" s="223"/>
      <c r="N44" s="162" t="s">
        <v>332</v>
      </c>
      <c r="O44" s="498"/>
      <c r="P44" s="498"/>
      <c r="Q44" s="172" t="s">
        <v>283</v>
      </c>
      <c r="R44" s="223" t="str" cm="1">
        <f t="array" ref="R44">IF(AND(NonQM!U12=A7,OR(NonQM!U21=G8:G13),OR(NonQM!U11=B11),NonQM!U13=C4),NA(),"")</f>
        <v/>
      </c>
      <c r="S44" s="162" t="s">
        <v>333</v>
      </c>
      <c r="U44" s="162" t="s">
        <v>273</v>
      </c>
      <c r="V44" s="223" t="str">
        <f>IF(AND(
   ISNUMBER(MATCH(NonQM!$U$12, $A$9:$A$12, 0)),
   ISNUMBER(MATCH(NonQM!$U$11, $B$9:$B$11, 0)),
   ISNUMBER(MATCH(NonQM!$U$15, $D$16, 0)),
   ISNUMBER(MATCH(NonQM!$U$22, $J$4:$J$5, 0)),
   ISNUMBER(MATCH(NonQM!$U$21, $G$5, 0)),
   NonQM!$U$13 = $C$4
), NA(), "")</f>
        <v/>
      </c>
      <c r="W44" s="162" t="s">
        <v>297</v>
      </c>
      <c r="Y44" s="162" t="s">
        <v>273</v>
      </c>
      <c r="Z44" s="223" t="str">
        <f>IF(AND(
   ISNUMBER(MATCH(NonQM!$U$12, $A$9:$A$12, 0)),
   ISNUMBER(MATCH(NonQM!$U$11, $B$9:$B$11, 0)),
   ISNUMBER(MATCH(NonQM!$U$15, $D$16, 0)),
   ISNUMBER(MATCH(NonQM!$U$22, $J$4:$J$5, 0)),
   ISNUMBER(MATCH(NonQM!$U$21, $G$5, 0)),
   NonQM!$U$13 = $C$4
), NA(), "")</f>
        <v/>
      </c>
      <c r="AA44" s="162" t="s">
        <v>297</v>
      </c>
      <c r="AG44" s="162" t="s">
        <v>334</v>
      </c>
      <c r="AH44" s="223" t="str" cm="1">
        <f t="array" ref="AH44">IF(AND(OR(NonQM!U23=L5:L6),OR(NonQM!U27=H3,NonQM!U27=H8:H9),OR(NonQM!U29='Feed(WS)'!T6)),NA(),"")</f>
        <v/>
      </c>
      <c r="AI44" s="174" t="s">
        <v>335</v>
      </c>
      <c r="AJ44" s="174"/>
      <c r="AK44" s="172"/>
      <c r="AN44" s="174"/>
      <c r="AO44" s="174"/>
      <c r="AP44" s="174"/>
    </row>
    <row r="45" spans="1:42" x14ac:dyDescent="0.25">
      <c r="A45" s="194">
        <v>1099</v>
      </c>
      <c r="B45" s="576" t="str" cm="1">
        <f t="array" ref="B45">IF(AND(NonQM!U18=E5,OR(NonQM!U21=G11:G13)),NA(),"")</f>
        <v/>
      </c>
      <c r="C45" s="162" t="s">
        <v>336</v>
      </c>
      <c r="D45" s="172"/>
      <c r="F45" s="162" t="s">
        <v>281</v>
      </c>
      <c r="G45" s="223" t="str" cm="1">
        <f t="array" ref="G45">IF(AND(OR(NonQM!U24=K4),NonQM!U13=C3,OR(NonQM!U11=B10:B11)),NA(),"")</f>
        <v/>
      </c>
      <c r="H45" s="162" t="s">
        <v>337</v>
      </c>
      <c r="J45" s="172"/>
      <c r="K45" s="172"/>
      <c r="L45" s="172" t="s">
        <v>177</v>
      </c>
      <c r="M45" s="223"/>
      <c r="N45" s="162" t="s">
        <v>338</v>
      </c>
      <c r="O45" s="498"/>
      <c r="P45" s="498"/>
      <c r="Q45" s="172" t="s">
        <v>283</v>
      </c>
      <c r="R45" s="223" t="str" cm="1">
        <f t="array" ref="R45">IF(AND(NonQM!U12=A7,OR(NonQM!U21=G10:G13),OR(NonQM!U11=B9:B11),NonQM!U13=C4),NA(),"")</f>
        <v/>
      </c>
      <c r="S45" s="162" t="s">
        <v>339</v>
      </c>
      <c r="U45" s="162" t="s">
        <v>273</v>
      </c>
      <c r="V45" s="223" t="str">
        <f>IF(AND(
   ISNUMBER(MATCH(NonQM!$U$12, $A$9:$A$12, 0)),
   ISNUMBER(MATCH(NonQM!$U$11, $B$8:$B$11, 0)),
   ISNUMBER(MATCH(NonQM!$U$15, $D$16, 0)),
   ISNUMBER(MATCH(NonQM!$U$22, $J$6:$J$7, 0)),
   ISNUMBER(MATCH(NonQM!$U$21, $G$5, 0)),
   NonQM!$U$13 = $C$4
), NA(), "")</f>
        <v/>
      </c>
      <c r="W45" s="162" t="s">
        <v>340</v>
      </c>
      <c r="Y45" s="162" t="s">
        <v>273</v>
      </c>
      <c r="Z45" s="223" t="str">
        <f>IF(AND(
   ISNUMBER(MATCH(NonQM!$U$12, $A$9:$A$12, 0)),
   ISNUMBER(MATCH(NonQM!$U$11, $B$8:$B$11, 0)),
   ISNUMBER(MATCH(NonQM!$U$15, $D$16, 0)),
   ISNUMBER(MATCH(NonQM!$U$22, $J$6:$J$7, 0)),
   ISNUMBER(MATCH(NonQM!$U$21, $G$5, 0)),
   NonQM!$U$13 = $C$4
), NA(), "")</f>
        <v/>
      </c>
      <c r="AA45" s="162" t="s">
        <v>340</v>
      </c>
      <c r="AG45" s="162" t="s">
        <v>341</v>
      </c>
      <c r="AH45" s="223"/>
      <c r="AI45" s="174" t="s">
        <v>335</v>
      </c>
      <c r="AJ45" s="174"/>
      <c r="AK45" s="172"/>
      <c r="AN45" s="174"/>
      <c r="AO45" s="174"/>
      <c r="AP45" s="174"/>
    </row>
    <row r="46" spans="1:42" x14ac:dyDescent="0.25">
      <c r="A46" s="183" t="s">
        <v>321</v>
      </c>
      <c r="B46" s="575" t="str" cm="1">
        <f t="array" ref="B46">IF(AND(NonQM!U19='Feed(WS)'!P7,OR(NonQM!U21='Feed(WS)'!G9:G11)),NA(),"")</f>
        <v/>
      </c>
      <c r="C46" s="172" t="s">
        <v>342</v>
      </c>
      <c r="D46" s="172"/>
      <c r="F46" s="162" t="s">
        <v>281</v>
      </c>
      <c r="G46" s="223" t="str" cm="1">
        <f t="array" ref="G46">IF(AND(OR(NonQM!U24=K5),NonQM!U13=C3,OR(NonQM!U11=B9:B11)),NA(),"")</f>
        <v/>
      </c>
      <c r="H46" s="162" t="s">
        <v>343</v>
      </c>
      <c r="I46"/>
      <c r="J46"/>
      <c r="K46" s="172"/>
      <c r="L46" s="162" t="s">
        <v>344</v>
      </c>
      <c r="M46" s="223"/>
      <c r="N46" s="162" t="s">
        <v>345</v>
      </c>
      <c r="O46" s="498"/>
      <c r="P46" s="498"/>
      <c r="Q46" s="172" t="s">
        <v>283</v>
      </c>
      <c r="R46" s="223" t="str" cm="1">
        <f t="array" ref="R46">IF(AND(NonQM!U12=A7,OR(NonQM!U21=G12:G13),OR(NonQM!U11=B4:B11),NonQM!U13=C4),NA(),"")</f>
        <v/>
      </c>
      <c r="S46" s="162" t="s">
        <v>346</v>
      </c>
      <c r="U46" s="162" t="s">
        <v>273</v>
      </c>
      <c r="V46" s="224" t="str">
        <f>IF(AND(
   ISNUMBER(MATCH(NonQM!$U$12, $A$11:$A$12, 0)),
   ISNUMBER(MATCH(NonQM!$U$11, $B$7:$B$11, 0)),
   ISNUMBER(MATCH(NonQM!$U$15, $D$16, 0)),
   ISNUMBER(MATCH(NonQM!$U$22, $J$6:$J$7, 0)),
   ISNUMBER(MATCH(NonQM!$U$21, $G$7, 0)),
   NonQM!$U$13 = $C$4
), NA(), "")</f>
        <v/>
      </c>
      <c r="W46" s="162" t="s">
        <v>347</v>
      </c>
      <c r="Y46" s="162" t="s">
        <v>273</v>
      </c>
      <c r="Z46" s="224" t="str">
        <f>IF(AND(
   ISNUMBER(MATCH(NonQM!$U$12, $A$11:$A$12, 0)),
   ISNUMBER(MATCH(NonQM!$U$11, $B$7:$B$11, 0)),
   ISNUMBER(MATCH(NonQM!$U$15, $D$16, 0)),
   ISNUMBER(MATCH(NonQM!$U$22, $J$6:$J$7, 0)),
   ISNUMBER(MATCH(NonQM!$U$21, $G$7, 0)),
   NonQM!$U$13 = $C$4
), NA(), "")</f>
        <v/>
      </c>
      <c r="AA46" s="162" t="s">
        <v>347</v>
      </c>
      <c r="AG46" s="172"/>
      <c r="AJ46" s="174"/>
      <c r="AK46" s="174"/>
      <c r="AL46" s="174"/>
      <c r="AM46" s="174"/>
      <c r="AN46" s="174"/>
      <c r="AO46" s="174"/>
      <c r="AP46" s="174"/>
    </row>
    <row r="47" spans="1:42" x14ac:dyDescent="0.25">
      <c r="A47" s="171" t="s">
        <v>348</v>
      </c>
      <c r="B47" s="576" t="str">
        <f>IF(NonQM!U21=G13,NA(),"")</f>
        <v/>
      </c>
      <c r="D47" s="172"/>
      <c r="F47" s="162" t="s">
        <v>281</v>
      </c>
      <c r="G47" s="223" t="str" cm="1">
        <f t="array" ref="G47">IF(AND(OR(NonQM!U24=K7),OR(NonQM!U11=B9:B11)),NA(),"")</f>
        <v/>
      </c>
      <c r="H47" s="162" t="s">
        <v>349</v>
      </c>
      <c r="I47" s="172"/>
      <c r="J47" s="172"/>
      <c r="K47" s="172"/>
      <c r="L47" s="162" t="s">
        <v>350</v>
      </c>
      <c r="M47" s="223"/>
      <c r="N47" s="162" t="s">
        <v>351</v>
      </c>
      <c r="O47" s="498"/>
      <c r="P47" s="498"/>
      <c r="Q47" s="172" t="s">
        <v>283</v>
      </c>
      <c r="R47" s="223" t="str" cm="1">
        <f t="array" ref="R47">IF(AND(NonQM!U12=A6,OR(NonQM!U21=G10:G13),OR(NonQM!U11=B10:B11),NonQM!U13=C4),NA(),"")</f>
        <v/>
      </c>
      <c r="S47" s="162" t="s">
        <v>352</v>
      </c>
      <c r="U47" s="162" t="s">
        <v>273</v>
      </c>
      <c r="V47" s="223" t="str">
        <f>IF(AND(
   ISNUMBER(MATCH(NonQM!$U$12, $A$9:$A$12, 0)),
   ISNUMBER(MATCH(NonQM!$U$11, $B$8:$B$11, 0)),
   ISNUMBER(MATCH(NonQM!$U$15, $D$18, 0)),
   ISNUMBER(MATCH(NonQM!$U$22, $J$3:$J$5, 0)),
   ISNUMBER(MATCH(NonQM!$U$21, $G$5, 0)),
   NonQM!$U$13 = $C$4
), NA(), "")</f>
        <v/>
      </c>
      <c r="W47" s="162" t="s">
        <v>353</v>
      </c>
      <c r="Y47" s="162" t="s">
        <v>273</v>
      </c>
      <c r="Z47" s="223" t="str">
        <f>IF(AND(
   ISNUMBER(MATCH(NonQM!$U$12, $A$9:$A$12, 0)),
   ISNUMBER(MATCH(NonQM!$U$11, $B$8:$B$11, 0)),
   ISNUMBER(MATCH(NonQM!$U$15, $D$18, 0)),
   ISNUMBER(MATCH(NonQM!$U$22, $J$3:$J$5, 0)),
   ISNUMBER(MATCH(NonQM!$U$21, $G$5, 0)),
   NonQM!$U$13 = $C$4
), NA(), "")</f>
        <v/>
      </c>
      <c r="AA47" s="162" t="s">
        <v>353</v>
      </c>
      <c r="AG47" s="162" t="s">
        <v>354</v>
      </c>
      <c r="AH47" s="361"/>
      <c r="AI47" s="174"/>
      <c r="AJ47" s="174"/>
      <c r="AK47" s="174"/>
      <c r="AL47"/>
      <c r="AM47"/>
      <c r="AN47"/>
      <c r="AO47" s="174" t="s">
        <v>228</v>
      </c>
      <c r="AP47" s="174"/>
    </row>
    <row r="48" spans="1:42" x14ac:dyDescent="0.25">
      <c r="A48" s="183" t="s">
        <v>355</v>
      </c>
      <c r="B48" s="575" t="str" cm="1">
        <f t="array" ref="B48">IF(AND(NonQM!U11='Feed(WS)'!B11,NonQM!U13='Feed(WS)'!C4,OR(NonQM!U23='Feed(WS)'!L4:L6)),NA(),"")</f>
        <v/>
      </c>
      <c r="C48" s="172" t="s">
        <v>356</v>
      </c>
      <c r="D48" s="172"/>
      <c r="F48" s="162" t="s">
        <v>53</v>
      </c>
      <c r="G48" s="223" t="str" cm="1">
        <f t="array" ref="G48">IF(AND(NonQM!U13=C3,OR(NonQM!U25=M8:M13,OR(NonQM!U25=M5:M6))),NA(),"")</f>
        <v/>
      </c>
      <c r="H48" s="162" t="s">
        <v>357</v>
      </c>
      <c r="I48" s="172"/>
      <c r="J48" s="172"/>
      <c r="K48" s="172"/>
      <c r="L48" s="162" t="s">
        <v>358</v>
      </c>
      <c r="M48" s="223"/>
      <c r="N48" s="162" t="s">
        <v>359</v>
      </c>
      <c r="O48" s="498"/>
      <c r="P48" s="498"/>
      <c r="Q48" s="172" t="s">
        <v>283</v>
      </c>
      <c r="R48" s="223" t="str" cm="1">
        <f t="array" ref="R48">IF(AND(NonQM!U12=A6,OR(NonQM!U21=G11:G13),OR(NonQM!U11=B8:B11),NonQM!U13=C4),NA(),"")</f>
        <v/>
      </c>
      <c r="S48" s="162" t="s">
        <v>360</v>
      </c>
      <c r="U48" s="162" t="s">
        <v>273</v>
      </c>
      <c r="V48" s="224" t="str">
        <f>IF(AND(
   ISNUMBER(MATCH(NonQM!$U$12, $A$9:$A$12, 0)),
   ISNUMBER(MATCH(NonQM!$U$11, $B$7:$B$11, 0)),
   ISNUMBER(MATCH(NonQM!$U$15, $D$18, 0)),
   ISNUMBER(MATCH(NonQM!$U$22, $J$6:$J$7, 0)),
   ISNUMBER(MATCH(NonQM!$U$21, $G$5, 0)),
   NonQM!$U$13 = $C$4
), NA(), "")</f>
        <v/>
      </c>
      <c r="W48" s="162" t="s">
        <v>361</v>
      </c>
      <c r="Y48" s="162" t="s">
        <v>273</v>
      </c>
      <c r="Z48" s="224" t="str">
        <f>IF(AND(
   ISNUMBER(MATCH(NonQM!$U$12, $A$9:$A$12, 0)),
   ISNUMBER(MATCH(NonQM!$U$11, $B$7:$B$11, 0)),
   ISNUMBER(MATCH(NonQM!$U$15, $D$18, 0)),
   ISNUMBER(MATCH(NonQM!$U$22, $J$6:$J$7, 0)),
   ISNUMBER(MATCH(NonQM!$U$21, $G$5, 0)),
   NonQM!$U$13 = $C$4
), NA(), "")</f>
        <v/>
      </c>
      <c r="AA48" s="162" t="s">
        <v>361</v>
      </c>
      <c r="AG48" t="s">
        <v>362</v>
      </c>
      <c r="AH48" s="361"/>
      <c r="AI48" t="s">
        <v>363</v>
      </c>
      <c r="AJ48"/>
      <c r="AK48"/>
      <c r="AL48"/>
      <c r="AM48"/>
      <c r="AN48"/>
      <c r="AO48" s="174" t="s">
        <v>228</v>
      </c>
      <c r="AP48" s="174"/>
    </row>
    <row r="49" spans="1:42" x14ac:dyDescent="0.25">
      <c r="A49" s="183" t="s">
        <v>364</v>
      </c>
      <c r="B49" s="609" t="s">
        <v>365</v>
      </c>
      <c r="C49" s="172" t="s">
        <v>366</v>
      </c>
      <c r="D49" s="172"/>
      <c r="F49" s="162" t="s">
        <v>367</v>
      </c>
      <c r="G49" s="223" t="str" cm="1">
        <f t="array" ref="G49">IF(AND(NonQM!U13=C3,OR(NonQM!U11=B9:B11),OR(NonQM!U22=J6:J7)),NA(),"")</f>
        <v/>
      </c>
      <c r="H49" s="162" t="s">
        <v>368</v>
      </c>
      <c r="I49" s="172"/>
      <c r="J49" s="172"/>
      <c r="L49" s="162" t="s">
        <v>369</v>
      </c>
      <c r="M49" s="223"/>
      <c r="N49" s="162" t="s">
        <v>370</v>
      </c>
      <c r="O49" s="498"/>
      <c r="P49" s="498"/>
      <c r="Q49" s="172" t="s">
        <v>283</v>
      </c>
      <c r="R49" s="223" t="str" cm="1">
        <f t="array" ref="R49">IF(AND(NonQM!U12=A6,OR(NonQM!U21=G12:G13),OR(NonQM!U11=B6:B11),NonQM!U13=C4),NA(),"")</f>
        <v/>
      </c>
      <c r="S49" s="162" t="s">
        <v>371</v>
      </c>
      <c r="U49" s="162" t="s">
        <v>273</v>
      </c>
      <c r="V49" s="224" t="str">
        <f>IF(AND(
   ISNUMBER(MATCH(NonQM!$U$12, $A$3:$A$8, 0)),
   ISNUMBER(MATCH(NonQM!$U$11, $B$9:$B$11, 0)),
   ISNUMBER(MATCH(NonQM!$U$15, $D$16, 0)),
   ISNUMBER(MATCH(NonQM!$U$22, $J$6:$J$7, 0)),
   ISNUMBER(MATCH(NonQM!$U$21, $G$5:$G$7, 0)),
   NonQM!$U$13 = $C$4
), NA(), "")</f>
        <v/>
      </c>
      <c r="W49" s="162" t="s">
        <v>372</v>
      </c>
      <c r="Y49" s="162" t="s">
        <v>273</v>
      </c>
      <c r="Z49" s="224" t="str">
        <f>IF(AND(
   ISNUMBER(MATCH(NonQM!$U$12, $A$3:$A$8, 0)),
   ISNUMBER(MATCH(NonQM!$U$11, $B$8:$B$11, 0)),
   ISNUMBER(MATCH(NonQM!$U$15, $D$18, 0)),
   ISNUMBER(MATCH(NonQM!$U$22, $J$6:$J$7, 0)),
   ISNUMBER(MATCH(NonQM!$U$21, $G$5:$G$7, 0)),
   NonQM!$U$13 = $C$4
), NA(), "")</f>
        <v/>
      </c>
      <c r="AA49" s="162" t="s">
        <v>373</v>
      </c>
      <c r="AG49" s="162" t="s">
        <v>374</v>
      </c>
      <c r="AH49" s="361"/>
      <c r="AI49" t="s">
        <v>375</v>
      </c>
      <c r="AJ49"/>
      <c r="AK49"/>
      <c r="AL49"/>
      <c r="AM49"/>
      <c r="AN49"/>
      <c r="AO49" s="174" t="s">
        <v>228</v>
      </c>
      <c r="AP49" s="174"/>
    </row>
    <row r="50" spans="1:42" x14ac:dyDescent="0.25">
      <c r="A50" s="183" t="s">
        <v>376</v>
      </c>
      <c r="B50" s="575" t="str" cm="1">
        <f t="array" ref="B50">IF(AND(OR(NonQM!U11='Feed(WS)'!B10:B11),OR(NonQM!U23='Feed(WS)'!L5:L6),OR(NonQM!U27='Feed(WS)'!H2:H4)),NA(),"")</f>
        <v/>
      </c>
      <c r="C50" s="172" t="s">
        <v>377</v>
      </c>
      <c r="D50" s="172"/>
      <c r="E50" s="172"/>
      <c r="F50" s="162" t="s">
        <v>378</v>
      </c>
      <c r="G50" s="223" t="str" cm="1">
        <f t="array" ref="G50">IF(AND(NonQM!U13=C3,OR(NonQM!U21=G11:G13,NonQM!U21=G3)),NA(),"")</f>
        <v/>
      </c>
      <c r="H50" s="162" t="s">
        <v>379</v>
      </c>
      <c r="I50" s="172"/>
      <c r="J50" s="172"/>
      <c r="L50" s="162" t="s">
        <v>380</v>
      </c>
      <c r="M50" s="223"/>
      <c r="N50" s="162" t="s">
        <v>381</v>
      </c>
      <c r="O50" s="498"/>
      <c r="P50" s="498"/>
      <c r="Q50" s="172" t="s">
        <v>283</v>
      </c>
      <c r="R50" s="223" t="str">
        <f>IF(AND(
   ISNUMBER(MATCH(NonQM!U11, B7:B11, 0)),
   ISNUMBER(MATCH(NonQM!U21, G12:G13, 0)),
   ISNUMBER(MATCH(NonQM!U12, A3:A6, 0)),
   NonQM!U13 = C4
), NA(), "")</f>
        <v/>
      </c>
      <c r="S50" s="162" t="s">
        <v>382</v>
      </c>
      <c r="U50" s="162" t="s">
        <v>273</v>
      </c>
      <c r="V50" s="224" t="str">
        <f>IF(AND(
   ISNUMBER(MATCH(NonQM!$U$12, $A$3:$A$7, 0)),
   ISNUMBER(MATCH(NonQM!$U$11, $B$9:$B$11, 0)),
   ISNUMBER(MATCH(NonQM!$U$15, $D$16, 0)),
   ISNUMBER(MATCH(NonQM!$U$22, $J$6:$J$7, 0)),
   ISNUMBER(MATCH(NonQM!$U$21, $G$7, 0)),
   NonQM!$U$13 = $C$4
), NA(), "")</f>
        <v/>
      </c>
      <c r="W50" s="162" t="s">
        <v>383</v>
      </c>
      <c r="Y50" s="162" t="s">
        <v>273</v>
      </c>
      <c r="Z50" s="224" t="str">
        <f>IF(AND(
   ISNUMBER(MATCH(NonQM!$U$12, $A$3:$A$7, 0)),
   ISNUMBER(MATCH(NonQM!$U$11, $B$8:$B$11, 0)),
   ISNUMBER(MATCH(NonQM!$U$15, $D$18, 0)),
   ISNUMBER(MATCH(NonQM!$U$22, $J$6:$J$7, 0)),
   ISNUMBER(MATCH(NonQM!$U$21, $G$7, 0)),
   NonQM!$U$13 = $C$4
), NA(), "")</f>
        <v/>
      </c>
      <c r="AA50" s="162" t="s">
        <v>384</v>
      </c>
      <c r="AG50" s="162" t="s">
        <v>385</v>
      </c>
      <c r="AH50" s="223"/>
      <c r="AI50" s="162" t="s">
        <v>386</v>
      </c>
      <c r="AJ50"/>
      <c r="AK50"/>
      <c r="AL50"/>
      <c r="AM50"/>
      <c r="AN50"/>
      <c r="AO50" s="174" t="s">
        <v>228</v>
      </c>
      <c r="AP50" s="174"/>
    </row>
    <row r="51" spans="1:42" x14ac:dyDescent="0.25">
      <c r="A51" s="169" t="s">
        <v>387</v>
      </c>
      <c r="B51" s="609" t="s">
        <v>365</v>
      </c>
      <c r="C51" s="195" t="s">
        <v>388</v>
      </c>
      <c r="D51" s="172" t="str" cm="1">
        <f t="array" ref="D51">IF(AND(OR(NonQM!U12=A10:A12),NonQM!U13=C4),NA(),"")</f>
        <v/>
      </c>
      <c r="E51" s="172"/>
      <c r="F51" s="162" t="s">
        <v>389</v>
      </c>
      <c r="G51" s="223" t="str" cm="1">
        <f t="array" ref="G51">IF(AND(OR(NonQM!U12=A9:A12),NonQM!U13=C3),NA(),"")</f>
        <v/>
      </c>
      <c r="H51" s="162" t="s">
        <v>390</v>
      </c>
      <c r="I51" s="172"/>
      <c r="J51" s="172"/>
      <c r="L51" t="s">
        <v>196</v>
      </c>
      <c r="M51" s="223"/>
      <c r="N51" s="162" t="s">
        <v>391</v>
      </c>
      <c r="O51" s="498"/>
      <c r="P51" s="498"/>
      <c r="Q51" s="172" t="s">
        <v>283</v>
      </c>
      <c r="R51" s="223" t="str">
        <f>IF(AND(
   ISNUMBER(MATCH(NonQM!U12, A11:A12, 0)),
   ISNUMBER(MATCH(NonQM!U11, B9:B11, 0)),
   ISNUMBER(MATCH(NonQM!U22, J3:J4, 0)),
   ISNUMBER(MATCH(NonQM!U21, G7, 0)),
   NonQM!U13 = C4
), NA(), "")</f>
        <v/>
      </c>
      <c r="S51" s="162" t="s">
        <v>392</v>
      </c>
      <c r="U51" s="162" t="s">
        <v>273</v>
      </c>
      <c r="V51" s="224" t="str">
        <f>IF(AND(
   ISNUMBER(MATCH(NonQM!$U$12, $A$9:$A$10, 0)),
   ISNUMBER(MATCH(NonQM!$U$11, $B$8:$B$11, 0)),
   ISNUMBER(MATCH(NonQM!$U$15, $D$16, 0)),
   ISNUMBER(MATCH(NonQM!$U$22, $J$6:$J$7, 0)),
   ISNUMBER(MATCH(NonQM!$U$21, $G$7, 0)),
   NonQM!$U$13 = $C$4
), NA(), "")</f>
        <v/>
      </c>
      <c r="W51" s="162" t="s">
        <v>393</v>
      </c>
      <c r="Y51" s="162" t="s">
        <v>273</v>
      </c>
      <c r="Z51" s="224" t="str">
        <f>IF(AND(
   ISNUMBER(MATCH(NonQM!$U$12, $A$9:$A$10, 0)),
   ISNUMBER(MATCH(NonQM!$U$11, $B$7:$B$11, 0)),
   ISNUMBER(MATCH(NonQM!$U$15, $D$18, 0)),
   ISNUMBER(MATCH(NonQM!$U$22, $J$6:$J$7, 0)),
   ISNUMBER(MATCH(NonQM!$U$21, $G$7, 0)),
   NonQM!$U$13 = $C$4
), NA(), "")</f>
        <v/>
      </c>
      <c r="AA51" s="162" t="s">
        <v>394</v>
      </c>
      <c r="AG51" s="162" t="s">
        <v>395</v>
      </c>
      <c r="AH51" s="361"/>
      <c r="AI51" t="s">
        <v>396</v>
      </c>
      <c r="AJ51"/>
      <c r="AK51"/>
      <c r="AL51"/>
      <c r="AM51"/>
      <c r="AN51"/>
      <c r="AO51" s="174" t="s">
        <v>228</v>
      </c>
      <c r="AP51" s="174"/>
    </row>
    <row r="52" spans="1:42" x14ac:dyDescent="0.25">
      <c r="A52" s="183" t="s">
        <v>397</v>
      </c>
      <c r="B52" s="575" t="str" cm="1">
        <f t="array" ref="B52">IF(AND(NonQM!U11=B11,OR(NonQM!U21=G8:G13)),NA(),"")</f>
        <v/>
      </c>
      <c r="C52" s="195" t="s">
        <v>398</v>
      </c>
      <c r="D52" s="172"/>
      <c r="E52" s="172"/>
      <c r="F52" s="162" t="s">
        <v>399</v>
      </c>
      <c r="G52" s="223" t="str" cm="1">
        <f t="array" ref="G52">IF(AND(NonQM!U12=A8,OR(NonQM!U21=G4:G13),OR(NonQM!U11=B9:B11),NonQM!U13=C3),NA(),"")</f>
        <v/>
      </c>
      <c r="H52" s="162" t="s">
        <v>400</v>
      </c>
      <c r="I52" s="172"/>
      <c r="J52" s="172"/>
      <c r="L52" t="s">
        <v>401</v>
      </c>
      <c r="M52" s="223"/>
      <c r="N52" s="162" t="s">
        <v>402</v>
      </c>
      <c r="O52" s="498"/>
      <c r="P52" s="498"/>
      <c r="Q52" s="172" t="s">
        <v>311</v>
      </c>
      <c r="R52" s="223" t="str">
        <f>IF(AND(
   ISNUMBER(MATCH(NonQM!U12, A11:A12, 0)),
   ISNUMBER(MATCH(NonQM!U11, B3:B11, 0)),
   ISNUMBER(MATCH(NonQM!U22, J3:J8, 0)),
   ISNUMBER(MATCH(NonQM!U21, G8:G13, 0)),
   NonQM!U13 = C4
), NA(), "")</f>
        <v/>
      </c>
      <c r="S52" s="162" t="s">
        <v>403</v>
      </c>
      <c r="U52" s="162" t="s">
        <v>273</v>
      </c>
      <c r="V52" s="224" t="str">
        <f>IF(AND(
   ISNUMBER(MATCH(NonQM!$U$12, $A$11:$A$12, 0)),
   ISNUMBER(MATCH(NonQM!$U$11, $B$8:$B$11, 0)),
   ISNUMBER(MATCH(NonQM!$U$15, $D$16, 0)),
   ISNUMBER(MATCH(NonQM!$U$22, $J$3:$J$5, 0)),
   ISNUMBER(MATCH(NonQM!$U$21, $G$7, 0)),
   NonQM!$U$13 = $C$4
), NA(), "")</f>
        <v/>
      </c>
      <c r="W52" s="162" t="s">
        <v>404</v>
      </c>
      <c r="Y52" s="162" t="s">
        <v>273</v>
      </c>
      <c r="Z52" s="224" t="str">
        <f>IF(AND(
   ISNUMBER(MATCH(NonQM!$U$12, $A$11:$A$12, 0)),
   ISNUMBER(MATCH(NonQM!$U$11, $B$7:$B$11, 0)),
   ISNUMBER(MATCH(NonQM!$U$15, $D$18, 0)),
   ISNUMBER(MATCH(NonQM!$U$22, $J$3:$J$5, 0)),
   ISNUMBER(MATCH(NonQM!$U$21, $G$7, 0)),
   NonQM!$U$13 = $C$4
), NA(), "")</f>
        <v/>
      </c>
      <c r="AA52" s="162" t="s">
        <v>405</v>
      </c>
      <c r="AG52" s="162" t="s">
        <v>406</v>
      </c>
      <c r="AH52" s="361"/>
      <c r="AI52" t="s">
        <v>407</v>
      </c>
      <c r="AJ52"/>
      <c r="AK52"/>
      <c r="AL52"/>
      <c r="AM52"/>
      <c r="AN52"/>
      <c r="AO52" s="174" t="s">
        <v>228</v>
      </c>
      <c r="AP52" s="174"/>
    </row>
    <row r="53" spans="1:42" x14ac:dyDescent="0.25">
      <c r="A53" s="196" t="s">
        <v>408</v>
      </c>
      <c r="B53" s="575" t="str" cm="1">
        <f t="array" ref="B53">IF(AND(NonQM!U11=B10,OR(NonQM!U21=G9:G13)),NA(),"")</f>
        <v/>
      </c>
      <c r="C53" s="195" t="s">
        <v>409</v>
      </c>
      <c r="D53" s="172"/>
      <c r="F53" s="162" t="s">
        <v>399</v>
      </c>
      <c r="G53" s="223" t="str" cm="1">
        <f t="array" ref="G53">IF(AND(NonQM!U12=A8,OR(NonQM!U21=G7:G13),OR(NonQM!U11=B9:B11),NonQM!U13=C3),NA(),"")</f>
        <v/>
      </c>
      <c r="H53" s="162" t="s">
        <v>410</v>
      </c>
      <c r="K53"/>
      <c r="L53" t="s">
        <v>411</v>
      </c>
      <c r="M53" s="361"/>
      <c r="N53" t="s">
        <v>412</v>
      </c>
      <c r="Q53" s="172" t="s">
        <v>311</v>
      </c>
      <c r="R53" s="223" t="str">
        <f>IF(AND(
   ISNUMBER(MATCH(NonQM!U12, A10, 0)),
   ISNUMBER(MATCH(NonQM!U11, B3:B11, 0)),
   ISNUMBER(MATCH(NonQM!U22, J3:J8, 0)),
   ISNUMBER(MATCH(NonQM!U21, G9:G13, 0)),
   NonQM!U13 = C4
), NA(), "")</f>
        <v/>
      </c>
      <c r="S53" s="162" t="s">
        <v>413</v>
      </c>
      <c r="U53" s="162" t="s">
        <v>273</v>
      </c>
      <c r="V53" s="224" t="str">
        <f>IF(AND(
   ISNUMBER(MATCH(NonQM!$U$12, $A$3:$A$5, 0)),
   ISNUMBER(MATCH(NonQM!$U$11, $B$10:$B$11, 0)),
   ISNUMBER(MATCH(NonQM!$U$15, $D$16, 0)),
   ISNUMBER(MATCH(NonQM!$U$22, $J$3:$J$5, 0)),
   ISNUMBER(MATCH(NonQM!$U$21, $G$8, 0)),
   NonQM!$U$13 = $C$4
), NA(), "")</f>
        <v/>
      </c>
      <c r="W53" s="162" t="s">
        <v>414</v>
      </c>
      <c r="Y53" s="162" t="s">
        <v>273</v>
      </c>
      <c r="Z53" s="224" t="str">
        <f>IF(AND(
   ISNUMBER(MATCH(NonQM!$U$12, $A$3:$A$5, 0)),
   ISNUMBER(MATCH(NonQM!$U$11, $B$9:$B$11, 0)),
   ISNUMBER(MATCH(NonQM!$U$15, $D$18, 0)),
   ISNUMBER(MATCH(NonQM!$U$22, $J$3:$J$5, 0)),
   ISNUMBER(MATCH(NonQM!$U$21, $G$8, 0)),
   NonQM!$U$13 = $C$4
), NA(), "")</f>
        <v/>
      </c>
      <c r="AA53" s="162" t="s">
        <v>415</v>
      </c>
      <c r="AG53" s="162" t="s">
        <v>416</v>
      </c>
      <c r="AH53" s="361"/>
      <c r="AI53" t="s">
        <v>417</v>
      </c>
      <c r="AJ53"/>
      <c r="AK53"/>
      <c r="AL53"/>
      <c r="AM53"/>
      <c r="AN53"/>
      <c r="AO53" s="174" t="s">
        <v>228</v>
      </c>
      <c r="AP53" s="174"/>
    </row>
    <row r="54" spans="1:42" x14ac:dyDescent="0.25">
      <c r="A54" s="196" t="s">
        <v>418</v>
      </c>
      <c r="B54" s="609" t="str" cm="1">
        <f t="array" ref="B54">IF(AND(OR(NonQM!U11=B8:B11),OR(NonQM!U21=G11:G13)),NA(),"")</f>
        <v/>
      </c>
      <c r="C54" s="195" t="s">
        <v>419</v>
      </c>
      <c r="D54" s="172"/>
      <c r="F54" s="162" t="s">
        <v>420</v>
      </c>
      <c r="G54" s="223" t="str" cm="1">
        <f t="array" ref="G54">IF(AND(NonQM!U12=A8,OR(NonQM!U21=G9:G13),OR(NonQM!U11=B7:B11),NonQM!U13=C3),NA(),"")</f>
        <v/>
      </c>
      <c r="H54" s="162" t="s">
        <v>421</v>
      </c>
      <c r="K54"/>
      <c r="L54" t="s">
        <v>422</v>
      </c>
      <c r="M54" s="361"/>
      <c r="N54" t="s">
        <v>423</v>
      </c>
      <c r="Q54" s="172" t="s">
        <v>311</v>
      </c>
      <c r="R54" s="223" t="str">
        <f>IF(AND(
   ISNUMBER(MATCH(NonQM!U12, A8:A9, 0)),
   ISNUMBER(MATCH(NonQM!U11, B3:B11, 0)),
   ISNUMBER(MATCH(NonQM!U22, J3:J8, 0)),
   ISNUMBER(MATCH(NonQM!U21, G12:G13, 0)),
   NonQM!U13 = C4
), NA(), "")</f>
        <v/>
      </c>
      <c r="S54" s="162" t="s">
        <v>424</v>
      </c>
      <c r="U54" s="162" t="s">
        <v>273</v>
      </c>
      <c r="V54" s="224" t="str">
        <f>IF(AND(
   ISNUMBER(MATCH(NonQM!$U$12, $A$3:$A$5, 0)),
   ISNUMBER(MATCH(NonQM!$U$11, $B$9:$B$11, 0)),
   ISNUMBER(MATCH(NonQM!$U$15, $D$16, 0)),
   ISNUMBER(MATCH(NonQM!$U$22, $J$6:$J$7, 0)),
   ISNUMBER(MATCH(NonQM!$U$21, $G$8, 0)),
   NonQM!$U$13 = $C$4
), NA(), "")</f>
        <v/>
      </c>
      <c r="W54" s="162" t="s">
        <v>425</v>
      </c>
      <c r="Y54" s="162" t="s">
        <v>273</v>
      </c>
      <c r="Z54" s="224" t="str">
        <f>IF(AND(
   ISNUMBER(MATCH(NonQM!$U$12, $A$3:$A$5, 0)),
   ISNUMBER(MATCH(NonQM!$U$11, $B$8:$B$11, 0)),
   ISNUMBER(MATCH(NonQM!$U$15, $D$18, 0)),
   ISNUMBER(MATCH(NonQM!$U$22, $J$6:$J$7, 0)),
   ISNUMBER(MATCH(NonQM!$U$21, $G$8, 0)),
   NonQM!$U$13 = $C$4
), NA(), "")</f>
        <v/>
      </c>
      <c r="AA54" s="162" t="s">
        <v>426</v>
      </c>
      <c r="AG54"/>
      <c r="AH54"/>
      <c r="AI54"/>
      <c r="AJ54"/>
      <c r="AK54"/>
      <c r="AL54"/>
      <c r="AM54"/>
      <c r="AN54"/>
      <c r="AO54" s="174" t="s">
        <v>228</v>
      </c>
      <c r="AP54" s="174"/>
    </row>
    <row r="55" spans="1:42" x14ac:dyDescent="0.25">
      <c r="A55" s="196" t="s">
        <v>427</v>
      </c>
      <c r="B55" s="576" t="str" cm="1">
        <f t="array" ref="B55">IF(AND(OR(NonQM!U11=B11),OR(NonQM!U24=K6),OR(NonQM!U13=C4:C8)),NA(),"")</f>
        <v/>
      </c>
      <c r="C55" s="162" t="s">
        <v>428</v>
      </c>
      <c r="D55" s="172"/>
      <c r="F55" s="162" t="s">
        <v>420</v>
      </c>
      <c r="G55" s="223" t="str" cm="1">
        <f t="array" ref="G55">IF(AND(NonQM!U12=A8,OR(NonQM!U21=G10:G13),OR(NonQM!U11=B6:B11),NonQM!U13=C3),NA(),"")</f>
        <v/>
      </c>
      <c r="H55" s="162" t="s">
        <v>429</v>
      </c>
      <c r="K55"/>
      <c r="L55" t="s">
        <v>430</v>
      </c>
      <c r="M55" s="361"/>
      <c r="N55" t="s">
        <v>431</v>
      </c>
      <c r="Q55" s="172" t="s">
        <v>311</v>
      </c>
      <c r="R55" s="223" t="str">
        <f>IF(AND(
   ISNUMBER(MATCH(NonQM!$U$12, $A$9:$A$12, 0)),
   ISNUMBER(MATCH(NonQM!$U$11, $B$9:$B$11, 0)),
   ISNUMBER(MATCH(NonQM!$U$22, $J$6:$J$7, 0)),
   ISNUMBER(MATCH(NonQM!$U$21, $G$3:$G$13, 0)),
   NonQM!$U$13 = $C$4
), NA(), "")</f>
        <v/>
      </c>
      <c r="S55" s="172" t="s">
        <v>432</v>
      </c>
      <c r="U55" s="162" t="s">
        <v>273</v>
      </c>
      <c r="V55" s="224" t="str">
        <f>IF(AND(
   ISNUMBER(MATCH(NonQM!$U$12, $A$6, 0)),
   ISNUMBER(MATCH(NonQM!$U$11, $B$10:$B$11, 0)),
   ISNUMBER(MATCH(NonQM!$U$15, $D$16, 0)),
   ISNUMBER(MATCH(NonQM!$U$22, $J$3:$J$5, 0)),
   ISNUMBER(MATCH(NonQM!$U$21, $G$8, 0)),
   NonQM!$U$13 = $C$4
), NA(), "")</f>
        <v/>
      </c>
      <c r="W55" s="162" t="s">
        <v>433</v>
      </c>
      <c r="Y55" s="162" t="s">
        <v>273</v>
      </c>
      <c r="Z55" s="224" t="str">
        <f>IF(AND(
   ISNUMBER(MATCH(NonQM!$U$12, $A$6, 0)),
   ISNUMBER(MATCH(NonQM!$U$11, $B$9:$B$11, 0)),
   ISNUMBER(MATCH(NonQM!$U$15, $D$18, 0)),
   ISNUMBER(MATCH(NonQM!$U$22, $J$3:$J$5, 0)),
   ISNUMBER(MATCH(NonQM!$U$21, $G$8, 0)),
   NonQM!$U$13 = $C$4
), NA(), "")</f>
        <v/>
      </c>
      <c r="AA55" s="162" t="s">
        <v>434</v>
      </c>
      <c r="AG55"/>
      <c r="AH55"/>
      <c r="AI55"/>
      <c r="AJ55"/>
      <c r="AK55"/>
      <c r="AL55"/>
      <c r="AM55"/>
      <c r="AN55"/>
      <c r="AO55" s="174" t="s">
        <v>228</v>
      </c>
      <c r="AP55" s="174"/>
    </row>
    <row r="56" spans="1:42" x14ac:dyDescent="0.25">
      <c r="A56" s="196" t="s">
        <v>435</v>
      </c>
      <c r="B56" s="576" t="str">
        <f>IF(AND(OR(NonQM!U11=B11),OR(NonQM!U24=K4)),NA(),"")</f>
        <v/>
      </c>
      <c r="C56" s="162" t="s">
        <v>436</v>
      </c>
      <c r="D56" s="172"/>
      <c r="F56" s="162" t="s">
        <v>399</v>
      </c>
      <c r="G56" s="223" t="str" cm="1">
        <f t="array" ref="G56">IF(AND(NonQM!U12=A7,OR(NonQM!U21=G4:G13),OR(NonQM!U11=B11),NonQM!U13=C3),NA(),"")</f>
        <v/>
      </c>
      <c r="H56" s="162" t="s">
        <v>437</v>
      </c>
      <c r="K56"/>
      <c r="L56" t="s">
        <v>438</v>
      </c>
      <c r="M56" s="361"/>
      <c r="N56" t="s">
        <v>439</v>
      </c>
      <c r="Q56" s="172" t="s">
        <v>311</v>
      </c>
      <c r="R56" s="361" t="str">
        <f>IF(AND(
   ISNUMBER(MATCH(NonQM!$U$12, $A$9:$A$10, 0)),
   ISNUMBER(MATCH(NonQM!$U$11, $B$9:$B$11, 0)),
   ISNUMBER(MATCH(NonQM!$U$22, $J$6:$J$7, 0)),
   ISNUMBER(MATCH(NonQM!$U$21, $G$7, 0)),
   NonQM!$U$13 = $C$4
), NA(), "")</f>
        <v/>
      </c>
      <c r="S56" s="172" t="s">
        <v>440</v>
      </c>
      <c r="U56" s="162" t="s">
        <v>273</v>
      </c>
      <c r="V56" s="224" t="str">
        <f>IF(AND(
   ISNUMBER(MATCH(NonQM!$U$12, $A$6, 0)),
   ISNUMBER(MATCH(NonQM!$U$11, $B$9:$B$11, 0)),
   ISNUMBER(MATCH(NonQM!$U$15, $D$16, 0)),
   ISNUMBER(MATCH(NonQM!$U$22, $J$6:$J$7, 0)),
   ISNUMBER(MATCH(NonQM!$U$21, $G$8, 0)),
   NonQM!$U$13 = $C$4
), NA(), "")</f>
        <v/>
      </c>
      <c r="W56" s="162" t="s">
        <v>441</v>
      </c>
      <c r="Y56" s="162" t="s">
        <v>273</v>
      </c>
      <c r="Z56" s="224" t="str">
        <f>IF(AND(
   ISNUMBER(MATCH(NonQM!$U$12, $A$6, 0)),
   ISNUMBER(MATCH(NonQM!$U$11, $B$8:$B$11, 0)),
   ISNUMBER(MATCH(NonQM!$U$15, $D$18, 0)),
   ISNUMBER(MATCH(NonQM!$U$22, $J$6:$J$7, 0)),
   ISNUMBER(MATCH(NonQM!$U$21, $G$8, 0)),
   NonQM!$U$13 = $C$4
), NA(), "")</f>
        <v/>
      </c>
      <c r="AA56" s="162" t="s">
        <v>442</v>
      </c>
      <c r="AG56" s="599" t="s">
        <v>64</v>
      </c>
      <c r="AH56" s="600"/>
      <c r="AI56" s="600"/>
      <c r="AJ56"/>
      <c r="AK56"/>
      <c r="AL56"/>
      <c r="AM56"/>
      <c r="AN56"/>
      <c r="AO56" s="174" t="s">
        <v>228</v>
      </c>
      <c r="AP56" s="174"/>
    </row>
    <row r="57" spans="1:42" x14ac:dyDescent="0.25">
      <c r="A57" s="196" t="s">
        <v>443</v>
      </c>
      <c r="B57" s="576" t="str" cm="1">
        <f t="array" ref="B57">IF(AND(OR(NonQM!U11=B9:B11),OR(NonQM!U24=K8)),NA(),"")</f>
        <v/>
      </c>
      <c r="C57" s="162" t="s">
        <v>444</v>
      </c>
      <c r="D57" s="172"/>
      <c r="F57" s="162" t="s">
        <v>399</v>
      </c>
      <c r="G57" s="223" t="str" cm="1">
        <f t="array" ref="G57">IF(AND(NonQM!U12=A7,OR(NonQM!U21=G7:G13),OR(NonQM!U11=B10:B11),NonQM!U13=C3),NA(),"")</f>
        <v/>
      </c>
      <c r="H57" s="162" t="s">
        <v>445</v>
      </c>
      <c r="K57"/>
      <c r="L57" t="s">
        <v>446</v>
      </c>
      <c r="M57" s="361"/>
      <c r="N57" t="s">
        <v>447</v>
      </c>
      <c r="Q57" s="172" t="s">
        <v>311</v>
      </c>
      <c r="R57" s="223" t="str">
        <f>IF(AND(
   ISNUMBER(MATCH(NonQM!$U$12, $A$11:$A$12, 0)),
   ISNUMBER(MATCH(NonQM!$U$11, $B$8:$B$11, 0)),
   ISNUMBER(MATCH(NonQM!$U$22, $J$6:$J$7, 0)),
   ISNUMBER(MATCH(NonQM!$U$21, $G$7, 0)),
   NonQM!$U$13 = $C$4
), NA(), "")</f>
        <v/>
      </c>
      <c r="S57" s="172" t="s">
        <v>448</v>
      </c>
      <c r="U57" s="162" t="s">
        <v>273</v>
      </c>
      <c r="V57" s="224" t="str">
        <f>IF(AND(
   ISNUMBER(MATCH(NonQM!$U$12, $A$7, 0)),
   ISNUMBER(MATCH(NonQM!$U$11, $B$10:$B$11, 0)),
   ISNUMBER(MATCH(NonQM!$U$15, $D$16, 0)),
   ISNUMBER(MATCH(NonQM!$U$22, $J$3:$J$5, 0)),
   ISNUMBER(MATCH(NonQM!$U$21, $G$8, 0)),
   NonQM!$U$13 = $C$4
), NA(), "")</f>
        <v/>
      </c>
      <c r="W57" s="162" t="s">
        <v>449</v>
      </c>
      <c r="Y57" s="162" t="s">
        <v>273</v>
      </c>
      <c r="Z57" s="224" t="str">
        <f>IF(AND(
   ISNUMBER(MATCH(NonQM!$U$12, $A$7, 0)),
   ISNUMBER(MATCH(NonQM!$U$11, $B$9:$B$11, 0)),
   ISNUMBER(MATCH(NonQM!$U$15, $D$18, 0)),
   ISNUMBER(MATCH(NonQM!$U$22, $J$3:$J$5, 0)),
   ISNUMBER(MATCH(NonQM!$U$21, $G$8, 0)),
   NonQM!$U$13 = $C$4
), NA(), "")</f>
        <v/>
      </c>
      <c r="AA57" s="162" t="s">
        <v>450</v>
      </c>
      <c r="AG57" t="s">
        <v>451</v>
      </c>
      <c r="AH57" s="361" t="str">
        <f>IF(AND(
   ISNUMBER(MATCH(NonQM!$U$12, $A$3:$A$12, 0)),
   ISNUMBER(MATCH(NonQM!$U$11, $B$10:$B$11, 0)),
   ISNUMBER(MATCH(NonQM!$U$22, $J$3:$J$8, 0)),
   ISNUMBER(MATCH(NonQM!$U$21, $G$3:$G$13, 0)),
   NonQM!$U$13 = $C$4,
   NonQM!$U$18 = $E$8
), NA(), "")</f>
        <v/>
      </c>
      <c r="AI57" t="s">
        <v>452</v>
      </c>
      <c r="AJ57"/>
      <c r="AK57"/>
      <c r="AL57"/>
      <c r="AM57"/>
      <c r="AN57"/>
      <c r="AO57" s="174" t="s">
        <v>228</v>
      </c>
      <c r="AP57" s="174"/>
    </row>
    <row r="58" spans="1:42" x14ac:dyDescent="0.25">
      <c r="A58" s="196" t="s">
        <v>453</v>
      </c>
      <c r="B58" s="576" t="str" cm="1">
        <f t="array" ref="B58">IF(AND(OR(NonQM!U11=B10:B11),OR(NonQM!U24=K5)),NA(),"")</f>
        <v/>
      </c>
      <c r="C58" s="162" t="s">
        <v>454</v>
      </c>
      <c r="D58" s="172"/>
      <c r="F58" s="162" t="s">
        <v>420</v>
      </c>
      <c r="G58" s="223" t="str" cm="1">
        <f t="array" ref="G58">IF(AND(NonQM!U12=A7,OR(NonQM!U21=G8:G13),OR(NonQM!U11=B9:B11),NonQM!U13=C3),NA(),"")</f>
        <v/>
      </c>
      <c r="H58" s="162" t="s">
        <v>455</v>
      </c>
      <c r="K58"/>
      <c r="L58" t="s">
        <v>456</v>
      </c>
      <c r="M58" s="361"/>
      <c r="N58" t="s">
        <v>457</v>
      </c>
      <c r="O58" s="499"/>
      <c r="P58" s="499"/>
      <c r="Q58" s="172" t="s">
        <v>311</v>
      </c>
      <c r="R58" s="223" t="str">
        <f>IF(AND(
   ISNUMBER(MATCH(NonQM!$U$12, $A$3:$A$7, 0)),
   ISNUMBER(MATCH(NonQM!$U$11, $B$10:$B$11, 0)),
   ISNUMBER(MATCH(NonQM!$U$22, $J$6:$J$7, 0)),
   ISNUMBER(MATCH(NonQM!$U$21, $G$8, 0)),
   NonQM!$U$13 = $C$4
), NA(), "")</f>
        <v/>
      </c>
      <c r="S58" s="172" t="s">
        <v>458</v>
      </c>
      <c r="U58" s="162" t="s">
        <v>273</v>
      </c>
      <c r="V58" s="223" t="str">
        <f>IF(AND(
   ISNUMBER(MATCH(NonQM!$U$12, $A$7, 0)),
   ISNUMBER(MATCH(NonQM!$U$11, $B$9:$B$11, 0)),
   ISNUMBER(MATCH(NonQM!$U$15, $D$16, 0)),
   ISNUMBER(MATCH(NonQM!$U$22, $J$6:$J$7, 0)),
   ISNUMBER(MATCH(NonQM!$U$21, $G$8, 0)),
   NonQM!$U$13 = $C$4
), NA(), "")</f>
        <v/>
      </c>
      <c r="W58" s="162" t="s">
        <v>459</v>
      </c>
      <c r="Y58" s="162" t="s">
        <v>273</v>
      </c>
      <c r="Z58" s="223" t="str">
        <f>IF(AND(
   ISNUMBER(MATCH(NonQM!$U$12, $A$7, 0)),
   ISNUMBER(MATCH(NonQM!$U$11, $B$8:$B$11, 0)),
   ISNUMBER(MATCH(NonQM!$U$15, $D$18, 0)),
   ISNUMBER(MATCH(NonQM!$U$22, $J$6:$J$7, 0)),
   ISNUMBER(MATCH(NonQM!$U$21, $G$8, 0)),
   NonQM!$U$13 = $C$4
), NA(), "")</f>
        <v/>
      </c>
      <c r="AA58" s="162" t="s">
        <v>460</v>
      </c>
      <c r="AG58" t="s">
        <v>461</v>
      </c>
      <c r="AH58" s="361" t="str">
        <f>IF(AND(
   ISNUMBER(MATCH(NonQM!$U$12, $A$10:$A$12, 0)),
   ISNUMBER(MATCH(NonQM!$U$11, $B$3:$B$11, 0)),
   NonQM!$U$13 = $C$4,
   NonQM!$U$18 = $E$8
), NA(), "")</f>
        <v/>
      </c>
      <c r="AI58" t="s">
        <v>462</v>
      </c>
      <c r="AJ58"/>
      <c r="AK58"/>
      <c r="AL58"/>
      <c r="AM58"/>
      <c r="AN58"/>
      <c r="AO58" s="174" t="s">
        <v>228</v>
      </c>
      <c r="AP58" s="174"/>
    </row>
    <row r="59" spans="1:42" x14ac:dyDescent="0.25">
      <c r="A59" s="196" t="s">
        <v>177</v>
      </c>
      <c r="B59" s="575" t="str" cm="1">
        <f t="array" ref="B59">IF(AND(OR(NonQM!U11=B8:B11),OR(NonQM!U12=A11:A12),NonQM!U17=D5),NA(),"")</f>
        <v/>
      </c>
      <c r="C59" s="172" t="s">
        <v>463</v>
      </c>
      <c r="F59" s="162" t="s">
        <v>420</v>
      </c>
      <c r="G59" s="223" t="str" cm="1">
        <f t="array" ref="G59">IF(AND(NonQM!U12=A7,OR(NonQM!U21=G10:G13),OR(NonQM!U11=B7:B11),NonQM!U13=C3),NA(),"")</f>
        <v/>
      </c>
      <c r="H59" s="162" t="s">
        <v>464</v>
      </c>
      <c r="K59"/>
      <c r="L59" t="s">
        <v>465</v>
      </c>
      <c r="M59" s="361"/>
      <c r="N59" t="s">
        <v>466</v>
      </c>
      <c r="Q59" s="172" t="s">
        <v>311</v>
      </c>
      <c r="R59" s="223" t="str">
        <f>IF(AND(
   ISNUMBER(MATCH(NonQM!$U$12, $A$8, 0)),
   ISNUMBER(MATCH(NonQM!$U$11, $B$9:$B$11, 0)),
   ISNUMBER(MATCH(NonQM!$U$22, $J$6:$J$7, 0)),
   ISNUMBER(MATCH(NonQM!$U$21, $G$8, 0)),
   NonQM!$U$13 = $C$4
), NA(), "")</f>
        <v/>
      </c>
      <c r="S59" s="172" t="s">
        <v>467</v>
      </c>
      <c r="U59" s="162" t="s">
        <v>273</v>
      </c>
      <c r="V59" s="223" t="str">
        <f>IF(AND(
   ISNUMBER(MATCH(NonQM!$U$12, $A$8, 0)),
   ISNUMBER(MATCH(NonQM!$U$11, $B$9:$B$11, 0)),
   ISNUMBER(MATCH(NonQM!$U$15, $D$16, 0)),
   ISNUMBER(MATCH(NonQM!$U$22, $J$3:$J$5, 0)),
   ISNUMBER(MATCH(NonQM!$U$21, $G$8, 0)),
   NonQM!$U$13 = $C$4
), NA(), "")</f>
        <v/>
      </c>
      <c r="W59" s="162" t="s">
        <v>468</v>
      </c>
      <c r="Y59" s="162" t="s">
        <v>273</v>
      </c>
      <c r="Z59" s="223" t="str">
        <f>IF(AND(
   ISNUMBER(MATCH(NonQM!$U$12, $A$8, 0)),
   ISNUMBER(MATCH(NonQM!$U$11, $B$8:$B$11, 0)),
   ISNUMBER(MATCH(NonQM!$U$15, $D$18, 0)),
   ISNUMBER(MATCH(NonQM!$U$22, $J$3:$J$5, 0)),
   ISNUMBER(MATCH(NonQM!$U$21, $G$8, 0)),
   NonQM!$U$13 = $C$4
), NA(), "")</f>
        <v/>
      </c>
      <c r="AA59" s="162" t="s">
        <v>469</v>
      </c>
      <c r="AG59" t="s">
        <v>470</v>
      </c>
      <c r="AH59" s="361" t="str">
        <f>IF(AND(
   ISNUMBER(MATCH(NonQM!$U$21, $G$10:$G$13, 0)),
   ISNUMBER(MATCH(NonQM!$U$11, $B$3:$B$11, 0)),
   NonQM!$U$13 = $C$4,
   NonQM!$U$18 = $E$8
), NA(), "")</f>
        <v/>
      </c>
      <c r="AI59" t="s">
        <v>471</v>
      </c>
      <c r="AJ59"/>
      <c r="AK59"/>
      <c r="AL59"/>
      <c r="AM59"/>
      <c r="AN59"/>
      <c r="AO59" s="174" t="s">
        <v>228</v>
      </c>
      <c r="AP59" s="174"/>
    </row>
    <row r="60" spans="1:42" x14ac:dyDescent="0.25">
      <c r="A60" s="169" t="s">
        <v>177</v>
      </c>
      <c r="B60" s="575" t="str" cm="1">
        <f t="array" ref="B60">IF(AND(OR(NonQM!U11='Feed(WS)'!B10:B11),NonQM!U17='Feed(WS)'!D5,OR(NonQM!U24='Feed(WS)'!K4:K6)),NA(),"")</f>
        <v/>
      </c>
      <c r="C60" s="162" t="s">
        <v>472</v>
      </c>
      <c r="F60" s="162" t="s">
        <v>399</v>
      </c>
      <c r="G60" s="223" t="str" cm="1">
        <f t="array" ref="G60">IF(AND(NonQM!U12=A6,OR(NonQM!U21=G4:G13),OR(NonQM!U11=B11),NonQM!U13=C3),NA(),"")</f>
        <v/>
      </c>
      <c r="H60" s="162" t="s">
        <v>473</v>
      </c>
      <c r="K60"/>
      <c r="L60" t="s">
        <v>474</v>
      </c>
      <c r="M60" s="361"/>
      <c r="N60" t="s">
        <v>475</v>
      </c>
      <c r="Q60" s="172" t="s">
        <v>311</v>
      </c>
      <c r="R60" s="223" t="str">
        <f>IF(AND(
   ISNUMBER(MATCH(NonQM!$U$12, $A$9:$A$10, 0)),
   ISNUMBER(MATCH(NonQM!$U$11, $B$9:$B$11, 0)),
   ISNUMBER(MATCH(NonQM!$U$22, $J$3:$J$5, 0)),
   ISNUMBER(MATCH(NonQM!$U$21, $G$8, 0)),
   NonQM!$U$13 = $C$4
), NA(), "")</f>
        <v/>
      </c>
      <c r="S60" s="172" t="s">
        <v>476</v>
      </c>
      <c r="U60" s="162" t="s">
        <v>273</v>
      </c>
      <c r="V60" s="223" t="str">
        <f>IF(AND(
   ISNUMBER(MATCH(NonQM!$U$12, $A$8, 0)),
   ISNUMBER(MATCH(NonQM!$U$11, $B$8:$B$11, 0)),
   ISNUMBER(MATCH(NonQM!$U$15, $D$16, 0)),
   ISNUMBER(MATCH(NonQM!$U$22, $J$6:$J$7, 0)),
   ISNUMBER(MATCH(NonQM!$U$21, $G$8, 0)),
   NonQM!$U$13 = $C$4
), NA(), "")</f>
        <v/>
      </c>
      <c r="W60" s="162" t="s">
        <v>477</v>
      </c>
      <c r="Y60" s="162" t="s">
        <v>273</v>
      </c>
      <c r="Z60" s="223" t="str">
        <f>IF(AND(
   ISNUMBER(MATCH(NonQM!$U$12, $A$8, 0)),
   ISNUMBER(MATCH(NonQM!$U$11, $B$7:$B$11, 0)),
   ISNUMBER(MATCH(NonQM!$U$15, $D$18, 0)),
   ISNUMBER(MATCH(NonQM!$U$22, $J$6:$J$7, 0)),
   ISNUMBER(MATCH(NonQM!$U$21, $G$8, 0)),
   NonQM!$U$13 = $C$4
), NA(), "")</f>
        <v/>
      </c>
      <c r="AA60" s="162" t="s">
        <v>478</v>
      </c>
      <c r="AG60" t="s">
        <v>37</v>
      </c>
      <c r="AH60" s="361" t="str">
        <f>IF(AND(
   ISNUMBER(MATCH(NonQM!$U$16, $E$15:$E$16, 0)),
   NonQM!$U$13 = $C$4,
   NonQM!$U$18 = $E$8
), NA(), "")</f>
        <v/>
      </c>
      <c r="AI60" t="s">
        <v>479</v>
      </c>
      <c r="AJ60"/>
      <c r="AK60"/>
      <c r="AL60"/>
      <c r="AM60"/>
      <c r="AN60"/>
      <c r="AO60" s="174" t="s">
        <v>228</v>
      </c>
      <c r="AP60" s="174"/>
    </row>
    <row r="61" spans="1:42" x14ac:dyDescent="0.25">
      <c r="A61" s="169" t="s">
        <v>177</v>
      </c>
      <c r="B61" s="575" t="str" cm="1">
        <f t="array" ref="B61">IF(AND(OR(NonQM!U12='Feed(WS)'!A7:A12),NonQM!U17='Feed(WS)'!D5,OR(NonQM!U11='Feed(WS)'!B9:B11),OR(NonQM!U22='Feed(WS)'!J6:J7)),NA(),"")</f>
        <v/>
      </c>
      <c r="C61" s="162" t="s">
        <v>480</v>
      </c>
      <c r="F61" s="162" t="s">
        <v>420</v>
      </c>
      <c r="G61" s="223" t="str" cm="1">
        <f t="array" ref="G61">IF(AND(NonQM!U12=A6,OR(NonQM!U21=G8:G13),OR(NonQM!U11=B10:B11),NonQM!U13=C3),NA(),"")</f>
        <v/>
      </c>
      <c r="H61" s="162" t="s">
        <v>481</v>
      </c>
      <c r="I61"/>
      <c r="J61"/>
      <c r="K61"/>
      <c r="L61" t="s">
        <v>482</v>
      </c>
      <c r="M61" s="361"/>
      <c r="N61" t="s">
        <v>483</v>
      </c>
      <c r="Q61" s="172" t="s">
        <v>311</v>
      </c>
      <c r="R61" s="223" t="str">
        <f>IF(AND(
   ISNUMBER(MATCH(NonQM!$U$12, $A$9:$A$10, 0)),
   ISNUMBER(MATCH(NonQM!$U$11, $B$8:$B$11, 0)),
   ISNUMBER(MATCH(NonQM!$U$22, $J$6:$J$7, 0)),
   ISNUMBER(MATCH(NonQM!$U$21, $G$8, 0)),
   NonQM!$U$13 = $C$4
), NA(), "")</f>
        <v/>
      </c>
      <c r="S61" s="172" t="s">
        <v>484</v>
      </c>
      <c r="U61" s="162" t="s">
        <v>273</v>
      </c>
      <c r="V61" s="223" t="str">
        <f>IF(AND(
   ISNUMBER(MATCH(NonQM!$U$12, $A$9:$A$10, 0)),
   ISNUMBER(MATCH(NonQM!$U$11, $B$8:$B$11, 0)),
   ISNUMBER(MATCH(NonQM!$U$15, $D$16, 0)),
   ISNUMBER(MATCH(NonQM!$U$22, $J$3:$J$5, 0)),
   ISNUMBER(MATCH(NonQM!$U$21, $G$8, 0)),
   NonQM!$U$13 = $C$4
), NA(), "")</f>
        <v/>
      </c>
      <c r="W61" s="162" t="s">
        <v>485</v>
      </c>
      <c r="Y61" s="162" t="s">
        <v>273</v>
      </c>
      <c r="Z61" s="223" t="str">
        <f>IF(AND(
   ISNUMBER(MATCH(NonQM!$U$12, $A$9:$A$10, 0)),
   ISNUMBER(MATCH(NonQM!$U$11, $B$7:$B$11, 0)),
   ISNUMBER(MATCH(NonQM!$U$15, $D$18, 0)),
   ISNUMBER(MATCH(NonQM!$U$22, $J$3:$J$5, 0)),
   ISNUMBER(MATCH(NonQM!$U$21, $G$8, 0)),
   NonQM!$U$13 = $C$4
), NA(), "")</f>
        <v/>
      </c>
      <c r="AA61" s="162" t="s">
        <v>486</v>
      </c>
      <c r="AG61" t="s">
        <v>487</v>
      </c>
      <c r="AH61" s="361" t="str">
        <f>IF(AND(
   ISNUMBER(MATCH(NonQM!$U$15, $D$18:$D$19, 0)),
   NonQM!$U$13 = $C$4,
   NonQM!$U$18 = $E$8
), NA(), "")</f>
        <v/>
      </c>
      <c r="AI61" t="s">
        <v>488</v>
      </c>
      <c r="AJ61"/>
      <c r="AK61"/>
      <c r="AL61"/>
      <c r="AM61"/>
      <c r="AN61"/>
      <c r="AO61" s="174" t="s">
        <v>228</v>
      </c>
      <c r="AP61" s="174"/>
    </row>
    <row r="62" spans="1:42" x14ac:dyDescent="0.25">
      <c r="A62" s="171" t="s">
        <v>489</v>
      </c>
      <c r="B62" s="576" t="str" cm="1">
        <f t="array" ref="B62">IF(AND(NonQM!U11=B11,NonQM!U20=F4,OR(NonQM!U13=C3:C4)),NA(),"")</f>
        <v/>
      </c>
      <c r="C62" s="162" t="s">
        <v>490</v>
      </c>
      <c r="F62" s="162" t="s">
        <v>420</v>
      </c>
      <c r="G62" s="223" t="str" cm="1">
        <f t="array" ref="G62">IF(AND(NonQM!U12=A6,OR(NonQM!U21=G9:G13),OR(NonQM!U11=B9:B11),NonQM!U13=C3),NA(),"")</f>
        <v/>
      </c>
      <c r="H62" s="162" t="s">
        <v>491</v>
      </c>
      <c r="I62"/>
      <c r="J62"/>
      <c r="K62"/>
      <c r="L62" t="s">
        <v>492</v>
      </c>
      <c r="M62" s="223"/>
      <c r="N62" s="162" t="s">
        <v>493</v>
      </c>
      <c r="Q62" s="172" t="s">
        <v>311</v>
      </c>
      <c r="R62" s="223" t="str">
        <f>IF(AND(
   ISNUMBER(MATCH(NonQM!$U$12, $A$3:$A$7, 0)),
   ISNUMBER(MATCH(NonQM!$U$11, $B$9:$B$11, 0)),
   ISNUMBER(MATCH(NonQM!$U$22, $J$6:$J$7, 0)),
   ISNUMBER(MATCH(NonQM!$U$21, $G$9, 0)),
   NonQM!$U$13 = $C$4
), NA(), "")</f>
        <v/>
      </c>
      <c r="S62" s="172" t="s">
        <v>494</v>
      </c>
      <c r="U62" s="162" t="s">
        <v>273</v>
      </c>
      <c r="V62" s="224" t="str">
        <f>IF(AND(
   ISNUMBER(MATCH(NonQM!$U$12, $A$9:$A$10, 0)),
   ISNUMBER(MATCH(NonQM!$U$11, $B$7:$B$11, 0)),
   ISNUMBER(MATCH(NonQM!$U$15, $D$16, 0)),
   ISNUMBER(MATCH(NonQM!$U$22, $J$6:$J$7, 0)),
   ISNUMBER(MATCH(NonQM!$U$21, $G$8, 0)),
   NonQM!$U$13 = $C$4
), NA(), "")</f>
        <v/>
      </c>
      <c r="W62" s="162" t="s">
        <v>495</v>
      </c>
      <c r="Y62" s="162" t="s">
        <v>273</v>
      </c>
      <c r="Z62" s="224" t="str">
        <f>IF(AND(
   ISNUMBER(MATCH(NonQM!$U$12, $A$9:$A$10, 0)),
   ISNUMBER(MATCH(NonQM!$U$11, $B$6:$B$11, 0)),
   ISNUMBER(MATCH(NonQM!$U$15, $D$18, 0)),
   ISNUMBER(MATCH(NonQM!$U$22, $J$6:$J$7, 0)),
   ISNUMBER(MATCH(NonQM!$U$21, $G$8, 0)),
   NonQM!$U$13 = $C$4
), NA(), "")</f>
        <v/>
      </c>
      <c r="AA62" s="162" t="s">
        <v>496</v>
      </c>
      <c r="AG62"/>
      <c r="AH62"/>
      <c r="AI62"/>
      <c r="AJ62"/>
      <c r="AK62"/>
      <c r="AL62"/>
      <c r="AM62"/>
      <c r="AN62"/>
      <c r="AO62" s="174" t="s">
        <v>228</v>
      </c>
      <c r="AP62" s="174"/>
    </row>
    <row r="63" spans="1:42" x14ac:dyDescent="0.25">
      <c r="A63" s="171" t="s">
        <v>497</v>
      </c>
      <c r="B63" s="576" t="str" cm="1">
        <f t="array" ref="B63">IF(AND(OR(NonQM!U11=B10:B11),OR(NonQM!U25=M5:M6,NonQM!U25=M9,NonQM!U25=M12)),NA(),"")</f>
        <v/>
      </c>
      <c r="C63" s="162" t="s">
        <v>498</v>
      </c>
      <c r="F63" s="162" t="s">
        <v>399</v>
      </c>
      <c r="G63" s="223" t="str" cm="1">
        <f t="array" ref="G63">IF(AND(OR(NonQM!U12=A3:A5),OR(NonQM!U21=G4:G13),OR(NonQM!U11=B11),NonQM!U13=C3),NA(),"")</f>
        <v/>
      </c>
      <c r="H63" s="162" t="s">
        <v>499</v>
      </c>
      <c r="I63"/>
      <c r="J63"/>
      <c r="K63"/>
      <c r="L63" t="s">
        <v>500</v>
      </c>
      <c r="M63" s="223"/>
      <c r="N63" s="162" t="s">
        <v>501</v>
      </c>
      <c r="Q63" s="172" t="s">
        <v>311</v>
      </c>
      <c r="R63" s="223" t="str">
        <f>IF(AND(
   ISNUMBER(MATCH(NonQM!$U$12, $A$8, 0)),
   ISNUMBER(MATCH(NonQM!$U$11, $B$8:$B$11, 0)),
   ISNUMBER(MATCH(NonQM!$U$22, $J$6:$J$7, 0)),
   ISNUMBER(MATCH(NonQM!$U$21, $G$9, 0)),
   NonQM!$U$13 = $C$4
), NA(), "")</f>
        <v/>
      </c>
      <c r="S63" s="172" t="s">
        <v>502</v>
      </c>
      <c r="U63" s="162" t="s">
        <v>273</v>
      </c>
      <c r="V63" s="224" t="str">
        <f>IF(AND(
   ISNUMBER(MATCH(NonQM!$U$12, $A$3:$A$7, 0)),
   ISNUMBER(MATCH(NonQM!$U$11, $B$9:$B$11, 0)),
   ISNUMBER(MATCH(NonQM!$U$15, $D$16, 0)),
   ISNUMBER(MATCH(NonQM!$U$22, $J$3:$J$5, 0)),
   ISNUMBER(MATCH(NonQM!$U$21, $G$9, 0)),
   NonQM!$U$13 = $C$4
), NA(), "")</f>
        <v/>
      </c>
      <c r="W63" s="162" t="s">
        <v>503</v>
      </c>
      <c r="Y63" s="162" t="s">
        <v>273</v>
      </c>
      <c r="Z63" s="224" t="str">
        <f>IF(AND(
   ISNUMBER(MATCH(NonQM!$U$12, $A$3:$A$7, 0)),
   ISNUMBER(MATCH(NonQM!$U$11, $B$8:$B$11, 0)),
   ISNUMBER(MATCH(NonQM!$U$15, $D$18, 0)),
   ISNUMBER(MATCH(NonQM!$U$22, $J$3:$J$5, 0)),
   ISNUMBER(MATCH(NonQM!$U$21, $G$9, 0)),
   NonQM!$U$13 = $C$4
), NA(), "")</f>
        <v/>
      </c>
      <c r="AA63" s="162" t="s">
        <v>504</v>
      </c>
      <c r="AG63"/>
      <c r="AH63"/>
      <c r="AI63"/>
      <c r="AJ63"/>
      <c r="AK63"/>
      <c r="AL63"/>
      <c r="AM63"/>
      <c r="AN63"/>
      <c r="AO63" s="174" t="s">
        <v>228</v>
      </c>
      <c r="AP63" s="174"/>
    </row>
    <row r="64" spans="1:42" x14ac:dyDescent="0.25">
      <c r="A64" s="171" t="s">
        <v>505</v>
      </c>
      <c r="B64" s="576" t="str" cm="1">
        <f t="array" ref="B64">IF(NonQM!U10=0,"",IF(AND(OR(NonQM!U21=G9:G13),NonQM!U10&lt;E152),NA(),""))</f>
        <v/>
      </c>
      <c r="C64" s="162" t="s">
        <v>506</v>
      </c>
      <c r="F64" s="162" t="s">
        <v>420</v>
      </c>
      <c r="G64" s="223" t="str" cm="1">
        <f t="array" ref="G64">IF(AND(OR(NonQM!U12=A3:A5),OR(NonQM!U21=G10:G13),OR(NonQM!U11=B9:B11),NonQM!U13=C3),NA(),"")</f>
        <v/>
      </c>
      <c r="H64" s="162" t="s">
        <v>507</v>
      </c>
      <c r="I64"/>
      <c r="J64"/>
      <c r="K64"/>
      <c r="L64" t="s">
        <v>508</v>
      </c>
      <c r="M64" s="223"/>
      <c r="N64" s="162" t="s">
        <v>509</v>
      </c>
      <c r="Q64" s="172" t="s">
        <v>311</v>
      </c>
      <c r="R64" s="223" t="str">
        <f>IF(AND(
   ISNUMBER(MATCH(NonQM!$U$12, $A$9, 0)),
   ISNUMBER(MATCH(NonQM!$U$11, $B$8:$B$11, 0)),
   ISNUMBER(MATCH(NonQM!$U$22, $J$3:$J$5, 0)),
   ISNUMBER(MATCH(NonQM!$U$21, $G$9, 0)),
   NonQM!$U$13 = $C$4
), NA(), "")</f>
        <v/>
      </c>
      <c r="S64" s="172" t="s">
        <v>510</v>
      </c>
      <c r="U64" s="162" t="s">
        <v>273</v>
      </c>
      <c r="V64" s="224" t="str">
        <f>IF(AND(
   ISNUMBER(MATCH(NonQM!$U$12, $A$3:$A$7, 0)),
   ISNUMBER(MATCH(NonQM!$U$11, $B$8:$B$11, 0)),
   ISNUMBER(MATCH(NonQM!$U$15, $D$16, 0)),
   ISNUMBER(MATCH(NonQM!$U$22, $J$6:$J$7, 0)),
   ISNUMBER(MATCH(NonQM!$U$21, $G$9, 0)),
   NonQM!$U$13 = $C$4
), NA(), "")</f>
        <v/>
      </c>
      <c r="W64" s="162" t="s">
        <v>511</v>
      </c>
      <c r="Y64" s="162" t="s">
        <v>273</v>
      </c>
      <c r="Z64" s="224" t="str">
        <f>IF(AND(
   ISNUMBER(MATCH(NonQM!$U$12, $A$3:$A$7, 0)),
   ISNUMBER(MATCH(NonQM!$U$11, $B$7:$B$11, 0)),
   ISNUMBER(MATCH(NonQM!$U$15, $D$18, 0)),
   ISNUMBER(MATCH(NonQM!$U$22, $J$6:$J$7, 0)),
   ISNUMBER(MATCH(NonQM!$U$21, $G$9, 0)),
   NonQM!$U$13 = $C$4
), NA(), "")</f>
        <v/>
      </c>
      <c r="AA64" s="162" t="s">
        <v>512</v>
      </c>
      <c r="AG64"/>
      <c r="AH64"/>
      <c r="AI64"/>
      <c r="AJ64"/>
      <c r="AK64"/>
      <c r="AL64"/>
      <c r="AM64"/>
      <c r="AN64"/>
      <c r="AO64" s="174" t="s">
        <v>228</v>
      </c>
      <c r="AP64" s="174"/>
    </row>
    <row r="65" spans="1:42" x14ac:dyDescent="0.25">
      <c r="A65" s="171" t="s">
        <v>513</v>
      </c>
      <c r="B65" s="577" t="str" cm="1">
        <f t="array" ref="B65">IF(NonQM!$U$10=0,"",IF(AND(OR(NonQM!$U$19=$P$6:$P$7),NonQM!$U$10&lt;$E$152),NA(),""))</f>
        <v/>
      </c>
      <c r="C65" s="162" t="s">
        <v>514</v>
      </c>
      <c r="F65" s="162" t="s">
        <v>515</v>
      </c>
      <c r="G65" s="223" t="str" cm="1">
        <f t="array" ref="G65">IF(AND(OR(NonQM!U12=A8),OR(NonQM!U21=G7:G13),OR(NonQM!U11=B8:B11),NonQM!U13=C3,OR(NonQM!U22=J6:J7)),NA(),"")</f>
        <v/>
      </c>
      <c r="H65" s="162" t="s">
        <v>516</v>
      </c>
      <c r="I65"/>
      <c r="J65"/>
      <c r="K65"/>
      <c r="L65" t="s">
        <v>517</v>
      </c>
      <c r="M65" s="223"/>
      <c r="N65" s="162" t="s">
        <v>518</v>
      </c>
      <c r="Q65" s="172" t="s">
        <v>311</v>
      </c>
      <c r="R65" s="223" t="str">
        <f>IF(AND(
   ISNUMBER(MATCH(NonQM!$U$12, $A$9, 0)),
   ISNUMBER(MATCH(NonQM!$U$11, $B$7:$B$11, 0)),
   ISNUMBER(MATCH(NonQM!$U$22, $J$6:$J$7, 0)),
   ISNUMBER(MATCH(NonQM!$U$21, $G$9, 0)),
   NonQM!$U$13 = $C$4
), NA(), "")</f>
        <v/>
      </c>
      <c r="S65" s="172" t="s">
        <v>519</v>
      </c>
      <c r="U65" s="162" t="s">
        <v>273</v>
      </c>
      <c r="V65" s="224" t="str">
        <f>IF(AND(
   ISNUMBER(MATCH(NonQM!$U$12, $A$8, 0)),
   ISNUMBER(MATCH(NonQM!$U$11, $B$8:$B$11, 0)),
   ISNUMBER(MATCH(NonQM!$U$15, $D$16, 0)),
   ISNUMBER(MATCH(NonQM!$U$22, $J$3:$J$5, 0)),
   ISNUMBER(MATCH(NonQM!$U$21, $G$9, 0)),
   NonQM!$U$13 = $C$4
), NA(), "")</f>
        <v/>
      </c>
      <c r="W65" s="162" t="s">
        <v>520</v>
      </c>
      <c r="Y65" s="162" t="s">
        <v>273</v>
      </c>
      <c r="Z65" s="224" t="str">
        <f>IF(AND(
   ISNUMBER(MATCH(NonQM!$U$12, $A$8, 0)),
   ISNUMBER(MATCH(NonQM!$U$11, $B$7:$B$11, 0)),
   ISNUMBER(MATCH(NonQM!$U$15, $D$18, 0)),
   ISNUMBER(MATCH(NonQM!$U$22, $J$3:$J$5, 0)),
   ISNUMBER(MATCH(NonQM!$U$21, $G$9, 0)),
   NonQM!$U$13 = $C$4
), NA(), "")</f>
        <v/>
      </c>
      <c r="AA65" s="162" t="s">
        <v>521</v>
      </c>
      <c r="AG65" s="599" t="s">
        <v>522</v>
      </c>
      <c r="AH65" s="600"/>
      <c r="AI65" s="600"/>
      <c r="AJ65"/>
      <c r="AK65"/>
      <c r="AL65"/>
      <c r="AM65"/>
      <c r="AN65"/>
      <c r="AO65" s="174"/>
      <c r="AP65" s="174"/>
    </row>
    <row r="66" spans="1:42" x14ac:dyDescent="0.25">
      <c r="A66" s="171" t="s">
        <v>523</v>
      </c>
      <c r="B66" s="576" t="str" cm="1">
        <f t="array" ref="B66">IF(AND(OR(NonQM!U29=T5),OR(NonQM!U27=H3),OR(NonQM!U23=L5:L6)),NA(),"")</f>
        <v/>
      </c>
      <c r="F66" s="162" t="s">
        <v>515</v>
      </c>
      <c r="G66" s="223" t="str" cm="1">
        <f t="array" ref="G66">IF(AND(OR(NonQM!U12=A8),OR(NonQM!U21=G9:G13),OR(NonQM!U11=B6:B11),NonQM!U13=C3,OR(NonQM!U22=J6:J7)),NA(),"")</f>
        <v/>
      </c>
      <c r="H66" s="162" t="s">
        <v>524</v>
      </c>
      <c r="I66"/>
      <c r="J66"/>
      <c r="K66"/>
      <c r="L66" s="162" t="s">
        <v>525</v>
      </c>
      <c r="M66" s="223"/>
      <c r="N66" s="162" t="s">
        <v>526</v>
      </c>
      <c r="Q66" s="172" t="s">
        <v>311</v>
      </c>
      <c r="R66" s="223" t="str">
        <f>IF(AND(
   ISNUMBER(MATCH(NonQM!$U$12, $A$3:$A$6, 0)),
   ISNUMBER(MATCH(NonQM!$U$11, $B$9:$B$11, 0)),
   ISNUMBER(MATCH(NonQM!$U$22, $J$6:$J$7, 0)),
   ISNUMBER(MATCH(NonQM!$U$21, $G$10, 0)),
   NonQM!$U$13 = $C$4
), NA(), "")</f>
        <v/>
      </c>
      <c r="S66" s="172" t="s">
        <v>527</v>
      </c>
      <c r="U66" s="162" t="s">
        <v>273</v>
      </c>
      <c r="V66" s="224" t="str">
        <f>IF(AND(
   ISNUMBER(MATCH(NonQM!$U$12, $A$8, 0)),
   ISNUMBER(MATCH(NonQM!$U$11, $B$7:$B$11, 0)),
   ISNUMBER(MATCH(NonQM!$U$15, $D$16, 0)),
   ISNUMBER(MATCH(NonQM!$U$22, $J$6:$J$7, 0)),
   ISNUMBER(MATCH(NonQM!$U$21, $G$9, 0)),
   NonQM!$U$13 = $C$4
), NA(), "")</f>
        <v/>
      </c>
      <c r="W66" s="162" t="s">
        <v>528</v>
      </c>
      <c r="Y66" s="162" t="s">
        <v>273</v>
      </c>
      <c r="Z66" s="224" t="str">
        <f>IF(AND(
   ISNUMBER(MATCH(NonQM!$U$12, $A$8, 0)),
   ISNUMBER(MATCH(NonQM!$U$11, $B$6:$B$11, 0)),
   ISNUMBER(MATCH(NonQM!$U$15, $D$18, 0)),
   ISNUMBER(MATCH(NonQM!$U$22, $J$6:$J$7, 0)),
   ISNUMBER(MATCH(NonQM!$U$21, $G$9, 0)),
   NonQM!$U$13 = $C$4
), NA(), "")</f>
        <v/>
      </c>
      <c r="AA66" s="162" t="s">
        <v>529</v>
      </c>
      <c r="AG66" t="s">
        <v>530</v>
      </c>
      <c r="AH66" s="361"/>
      <c r="AI66" t="s">
        <v>531</v>
      </c>
      <c r="AJ66"/>
      <c r="AK66"/>
      <c r="AL66"/>
      <c r="AM66"/>
      <c r="AN66"/>
      <c r="AO66" s="174"/>
      <c r="AP66" s="174"/>
    </row>
    <row r="67" spans="1:42" x14ac:dyDescent="0.25">
      <c r="A67" s="198" t="s">
        <v>532</v>
      </c>
      <c r="B67" s="578">
        <f>SUM(B39:B66)+SUM(G38:G76)+SUM(M38:M77)+SUM(R38:R84)+SUM(AH38:AH99)+SUM(Z37:Z125)+SUM(V37:V92)+SUM(AL38:AL45)</f>
        <v>0</v>
      </c>
      <c r="E67" s="189"/>
      <c r="F67" s="162" t="s">
        <v>515</v>
      </c>
      <c r="G67" s="223" t="str" cm="1">
        <f t="array" ref="G67">IF(AND(OR(NonQM!U12=A7),OR(NonQM!U21=G8:G13),OR(NonQM!U11=B8:B11),NonQM!U13=C3,OR(NonQM!U22=J6:J7)),NA(),"")</f>
        <v/>
      </c>
      <c r="H67" s="162" t="s">
        <v>533</v>
      </c>
      <c r="I67"/>
      <c r="J67"/>
      <c r="K67"/>
      <c r="L67" s="162" t="s">
        <v>534</v>
      </c>
      <c r="M67" s="223"/>
      <c r="N67" s="162" t="s">
        <v>535</v>
      </c>
      <c r="Q67" s="172" t="s">
        <v>311</v>
      </c>
      <c r="R67" s="223" t="str">
        <f>IF(AND(
   ISNUMBER(MATCH(NonQM!$U$12, $A$7, 0)),
   ISNUMBER(MATCH(NonQM!$U$11, $B$8:$B$11, 0)),
   ISNUMBER(MATCH(NonQM!$U$22, $J$6:$J$7, 0)),
   ISNUMBER(MATCH(NonQM!$U$21, $G$10, 0)),
   NonQM!$U$13 = $C$4
), NA(), "")</f>
        <v/>
      </c>
      <c r="S67" s="172" t="s">
        <v>536</v>
      </c>
      <c r="U67" s="162" t="s">
        <v>273</v>
      </c>
      <c r="V67" s="224" t="str">
        <f>IF(AND(
   ISNUMBER(MATCH(NonQM!$U$12, $A$3:$A$6, 0)),
   ISNUMBER(MATCH(NonQM!$U$11, $B$8:$B$11, 0)),
   ISNUMBER(MATCH(NonQM!$U$15, $D$16, 0)),
   ISNUMBER(MATCH(NonQM!$U$22, $J$3:$J$5, 0)),
   ISNUMBER(MATCH(NonQM!$U$21, $G$10, 0)),
   NonQM!$U$13 = $C$4
), NA(), "")</f>
        <v/>
      </c>
      <c r="W67" s="162" t="s">
        <v>537</v>
      </c>
      <c r="Y67" s="162" t="s">
        <v>273</v>
      </c>
      <c r="Z67" s="224" t="str">
        <f>IF(AND(
   ISNUMBER(MATCH(NonQM!$U$12, $A$3:$A$6, 0)),
   ISNUMBER(MATCH(NonQM!$U$11, $B$7:$B$11, 0)),
   ISNUMBER(MATCH(NonQM!$U$15, $D$18, 0)),
   ISNUMBER(MATCH(NonQM!$U$22, $J$3:$J$5, 0)),
   ISNUMBER(MATCH(NonQM!$U$21, $G$10, 0)),
   NonQM!$U$13 = $C$4
), NA(), "")</f>
        <v/>
      </c>
      <c r="AA67" s="162" t="s">
        <v>538</v>
      </c>
      <c r="AG67" s="162" t="s">
        <v>539</v>
      </c>
      <c r="AH67" s="224"/>
      <c r="AI67" s="162" t="s">
        <v>540</v>
      </c>
      <c r="AJ67" s="174"/>
      <c r="AK67" s="174"/>
      <c r="AL67" s="174"/>
      <c r="AM67" s="174"/>
      <c r="AN67" s="174"/>
      <c r="AO67" s="174"/>
      <c r="AP67" s="174"/>
    </row>
    <row r="68" spans="1:42" x14ac:dyDescent="0.25">
      <c r="A68" s="193" t="s">
        <v>50</v>
      </c>
      <c r="B68" s="193"/>
      <c r="C68"/>
      <c r="E68" s="189"/>
      <c r="F68" s="162" t="s">
        <v>515</v>
      </c>
      <c r="G68" s="223" t="str" cm="1">
        <f t="array" ref="G68">IF(AND(OR(NonQM!U12=A7),OR(NonQM!U21=G10:G13),OR(NonQM!U11=B6:B11),NonQM!U13=C3,OR(NonQM!U22=J6:J7)),NA(),"")</f>
        <v/>
      </c>
      <c r="H68" s="162" t="s">
        <v>541</v>
      </c>
      <c r="I68"/>
      <c r="J68"/>
      <c r="K68"/>
      <c r="L68" s="162" t="s">
        <v>542</v>
      </c>
      <c r="M68" s="223"/>
      <c r="N68" s="162" t="s">
        <v>543</v>
      </c>
      <c r="Q68" s="172" t="s">
        <v>311</v>
      </c>
      <c r="R68" s="223" t="str">
        <f>IF(AND(
   ISNUMBER(MATCH(NonQM!$U$12, $A$8, 0)),
   ISNUMBER(MATCH(NonQM!$U$11, $B$7:$B$11, 0)),
   ISNUMBER(MATCH(NonQM!$U$22, $J$6:$J$7, 0)),
   ISNUMBER(MATCH(NonQM!$U$21, $G$10, 0)),
   NonQM!$U$13 = $C$4
), NA(), "")</f>
        <v/>
      </c>
      <c r="S68" s="172" t="s">
        <v>544</v>
      </c>
      <c r="U68" s="162" t="s">
        <v>273</v>
      </c>
      <c r="V68" s="224" t="str">
        <f>IF(AND(
   ISNUMBER(MATCH(NonQM!$U$12, $A$3:$A$6, 0)),
   ISNUMBER(MATCH(NonQM!$U$11, $B$7:$B$11, 0)),
   ISNUMBER(MATCH(NonQM!$U$15, $D$16, 0)),
   ISNUMBER(MATCH(NonQM!$U$22, $J$6:$J$7, 0)),
   ISNUMBER(MATCH(NonQM!$U$21, $G$10, 0)),
   NonQM!$U$13 = $C$4
), NA(), "")</f>
        <v/>
      </c>
      <c r="W68" s="162" t="s">
        <v>545</v>
      </c>
      <c r="Y68" s="162" t="s">
        <v>273</v>
      </c>
      <c r="Z68" s="224" t="str">
        <f>IF(AND(
   ISNUMBER(MATCH(NonQM!$U$12, $A$3:$A$6, 0)),
   ISNUMBER(MATCH(NonQM!$U$11, $B$6:$B$11, 0)),
   ISNUMBER(MATCH(NonQM!$U$15, $D$18, 0)),
   ISNUMBER(MATCH(NonQM!$U$22, $J$6:$J$7, 0)),
   ISNUMBER(MATCH(NonQM!$U$21, $G$10, 0)),
   NonQM!$U$13 = $C$4
), NA(), "")</f>
        <v/>
      </c>
      <c r="AA68" s="162" t="s">
        <v>546</v>
      </c>
      <c r="AG68" s="162" t="s">
        <v>539</v>
      </c>
      <c r="AH68" s="224"/>
      <c r="AI68" s="162" t="s">
        <v>547</v>
      </c>
      <c r="AJ68" s="174"/>
      <c r="AK68" s="174"/>
      <c r="AL68" s="174"/>
      <c r="AM68" s="174"/>
      <c r="AN68" s="174"/>
      <c r="AO68" s="174"/>
      <c r="AP68" s="174"/>
    </row>
    <row r="69" spans="1:42" x14ac:dyDescent="0.25">
      <c r="A69" s="183" t="b" cm="1">
        <f t="array" ref="A69">IF(AND(NonQM!U21='Feed(WS)'!J3,OR(NonQM!U11='Feed(WS)'!B10:B11),NonQM!U12='Feed(WS)'!C4),TRUE(),FALSE)</f>
        <v>0</v>
      </c>
      <c r="B69" s="172" t="s">
        <v>548</v>
      </c>
      <c r="C69"/>
      <c r="F69" s="162" t="s">
        <v>515</v>
      </c>
      <c r="G69" s="223" t="str" cm="1">
        <f t="array" ref="G69">IF(AND(OR(NonQM!U12=A6),OR(NonQM!U21=G9:G13),OR(NonQM!U11=B8:B11),NonQM!U13=C3,OR(NonQM!U22=J6:J7)),NA(),"")</f>
        <v/>
      </c>
      <c r="H69" s="162" t="s">
        <v>549</v>
      </c>
      <c r="I69"/>
      <c r="J69"/>
      <c r="K69"/>
      <c r="L69" s="162" t="s">
        <v>550</v>
      </c>
      <c r="M69" s="223"/>
      <c r="N69" s="162" t="s">
        <v>551</v>
      </c>
      <c r="Q69" s="172" t="s">
        <v>311</v>
      </c>
      <c r="R69" s="223" t="str">
        <f>IF(AND(
   ISNUMBER(MATCH(NonQM!$U$12, $A$9:$A$12, 0)),
   ISNUMBER(MATCH(NonQM!$U$11, $B$6:$B$11, 0)),
   ISNUMBER(MATCH(NonQM!$U$22, $J$3:$J$5, 0)),
   ISNUMBER(MATCH(NonQM!$U$21, $G$10, 0)),
   NonQM!$U$13 = $C$4
), NA(), "")</f>
        <v/>
      </c>
      <c r="S69" s="172" t="s">
        <v>552</v>
      </c>
      <c r="U69" s="162" t="s">
        <v>273</v>
      </c>
      <c r="V69" s="224" t="str">
        <f>IF(AND(
   ISNUMBER(MATCH(NonQM!$U$12, $A$7, 0)),
   ISNUMBER(MATCH(NonQM!$U$11, $B$7:$B$11, 0)),
   ISNUMBER(MATCH(NonQM!$U$15, $D$16, 0)),
   ISNUMBER(MATCH(NonQM!$U$22, $J$3:$J$5, 0)),
   ISNUMBER(MATCH(NonQM!$U$21, $G$10, 0)),
   NonQM!$U$13 = $C$4
), NA(), "")</f>
        <v/>
      </c>
      <c r="W69" s="162" t="s">
        <v>553</v>
      </c>
      <c r="Y69" s="162" t="s">
        <v>273</v>
      </c>
      <c r="Z69" s="224" t="str">
        <f>IF(AND(
   ISNUMBER(MATCH(NonQM!$U$12, $A$7, 0)),
   ISNUMBER(MATCH(NonQM!$U$11, $B$6:$B$11, 0)),
   ISNUMBER(MATCH(NonQM!$U$15, $D$18, 0)),
   ISNUMBER(MATCH(NonQM!$U$22, $J$3:$J$5, 0)),
   ISNUMBER(MATCH(NonQM!$U$21, $G$10, 0)),
   NonQM!$U$13 = $C$4
), NA(), "")</f>
        <v/>
      </c>
      <c r="AA69" s="162" t="s">
        <v>554</v>
      </c>
      <c r="AG69" s="162" t="s">
        <v>539</v>
      </c>
      <c r="AH69" s="224"/>
      <c r="AI69" s="162" t="s">
        <v>555</v>
      </c>
      <c r="AJ69" s="174"/>
      <c r="AK69" s="174"/>
      <c r="AL69" s="174"/>
      <c r="AM69" s="174"/>
      <c r="AN69" s="174"/>
      <c r="AO69" s="174"/>
      <c r="AP69" s="174"/>
    </row>
    <row r="70" spans="1:42" x14ac:dyDescent="0.25">
      <c r="A70" s="183" t="b" cm="1">
        <f t="array" ref="A70">IF(AND(NonQM!U11='Feed(WS)'!B10,NonQM!U12='Feed(WS)'!C4,OR(NonQM!U11='Feed(WS)'!A3:A6),NonQM!U21='Feed(WS)'!J3,NonQM!U23='Feed(WS)'!L3),TRUE,FALSE)</f>
        <v>0</v>
      </c>
      <c r="B70" s="172" t="s">
        <v>556</v>
      </c>
      <c r="C70"/>
      <c r="F70" s="162" t="s">
        <v>515</v>
      </c>
      <c r="G70" s="223" t="str" cm="1">
        <f t="array" ref="G70">IF(AND(OR(NonQM!U12=A3:A5),OR(NonQM!U21=G10:G13),OR(NonQM!U11=B8:B11),NonQM!U13=C3,OR(NonQM!U22=J6:J7)),NA(),"")</f>
        <v/>
      </c>
      <c r="H70" s="162" t="s">
        <v>557</v>
      </c>
      <c r="J70"/>
      <c r="K70"/>
      <c r="L70" s="162" t="s">
        <v>558</v>
      </c>
      <c r="M70" s="223"/>
      <c r="N70" s="162" t="s">
        <v>559</v>
      </c>
      <c r="Q70" s="172" t="s">
        <v>311</v>
      </c>
      <c r="R70" s="223" t="str">
        <f>IF(AND(
   ISNUMBER(MATCH(NonQM!$U$12, $A$9:$A$12, 0)),
   ISNUMBER(MATCH(NonQM!$U$11, $B$5:$B$11, 0)),
   ISNUMBER(MATCH(NonQM!$U$22, $J$6:$J$7, 0)),
   ISNUMBER(MATCH(NonQM!$U$21, $G$10, 0)),
   NonQM!$U$13 = $C$4
), NA(), "")</f>
        <v/>
      </c>
      <c r="S70" s="172" t="s">
        <v>560</v>
      </c>
      <c r="U70" s="162" t="s">
        <v>273</v>
      </c>
      <c r="V70" s="224" t="str">
        <f>IF(AND(
   ISNUMBER(MATCH(NonQM!$U$12, $A$7, 0)),
   ISNUMBER(MATCH(NonQM!$U$11, $B$6:$B$11, 0)),
   ISNUMBER(MATCH(NonQM!$U$15, $D$16, 0)),
   ISNUMBER(MATCH(NonQM!$U$22, $J$6:$J$7, 0)),
   ISNUMBER(MATCH(NonQM!$U$21, $G$10, 0)),
   NonQM!$U$13 = $C$4
), NA(), "")</f>
        <v/>
      </c>
      <c r="W70" s="162" t="s">
        <v>561</v>
      </c>
      <c r="Y70" s="162" t="s">
        <v>273</v>
      </c>
      <c r="Z70" s="224" t="str">
        <f>IF(AND(
   ISNUMBER(MATCH(NonQM!$U$12, $A$7, 0)),
   ISNUMBER(MATCH(NonQM!$U$11, $B$5:$B$11, 0)),
   ISNUMBER(MATCH(NonQM!$U$15, $D$18, 0)),
   ISNUMBER(MATCH(NonQM!$U$22, $J$6:$J$7, 0)),
   ISNUMBER(MATCH(NonQM!$U$21, $G$10, 0)),
   NonQM!$U$13 = $C$4
), NA(), "")</f>
        <v/>
      </c>
      <c r="AA70" s="162" t="s">
        <v>562</v>
      </c>
      <c r="AG70" s="162" t="s">
        <v>563</v>
      </c>
      <c r="AH70" s="224"/>
      <c r="AI70" s="162" t="s">
        <v>564</v>
      </c>
      <c r="AJ70" s="174"/>
      <c r="AK70" s="174"/>
      <c r="AL70" s="174"/>
      <c r="AM70" s="174"/>
      <c r="AN70" s="174"/>
      <c r="AO70" s="174"/>
      <c r="AP70" s="174"/>
    </row>
    <row r="71" spans="1:42" x14ac:dyDescent="0.25">
      <c r="A71" s="183" t="b" cm="1">
        <f t="array" ref="A71">OR(NonQM!U11='Feed(WS)'!B3:B9)</f>
        <v>0</v>
      </c>
      <c r="B71" s="172" t="s">
        <v>565</v>
      </c>
      <c r="C71"/>
      <c r="F71" s="162" t="s">
        <v>566</v>
      </c>
      <c r="G71" s="223" t="str" cm="1">
        <f t="array" ref="G71">IF(AND(OR(NonQM!U11=B10:B11),NonQM!U13=C3,OR(NonQM!U22=J4:J5)),NA(),"")</f>
        <v/>
      </c>
      <c r="H71" s="162" t="s">
        <v>567</v>
      </c>
      <c r="J71"/>
      <c r="K71"/>
      <c r="L71" s="162" t="s">
        <v>568</v>
      </c>
      <c r="M71" s="223"/>
      <c r="N71" s="162" t="s">
        <v>569</v>
      </c>
      <c r="Q71" s="172" t="s">
        <v>311</v>
      </c>
      <c r="R71" s="223" t="str">
        <f>IF(AND(
   ISNUMBER(MATCH(NonQM!$U$12, $A$3:$A$6, 0)),
   ISNUMBER(MATCH(NonQM!$U$11, $B$7:$B$11, 0)),
   ISNUMBER(MATCH(NonQM!$U$22, $J$6:$J$7, 0)),
   ISNUMBER(MATCH(NonQM!$U$21, $G$11, 0)),
   NonQM!$U$13 = $C$4
), NA(), "")</f>
        <v/>
      </c>
      <c r="S71" s="172" t="s">
        <v>570</v>
      </c>
      <c r="U71" s="162" t="s">
        <v>273</v>
      </c>
      <c r="V71" s="224" t="str">
        <f>IF(AND(
   ISNUMBER(MATCH(NonQM!$U$12, $A$8, 0)),
   ISNUMBER(MATCH(NonQM!$U$11, $B$6:$B$11, 0)),
   ISNUMBER(MATCH(NonQM!$U$15, $D$16, 0)),
   ISNUMBER(MATCH(NonQM!$U$22, $J$3:$J$5, 0)),
   ISNUMBER(MATCH(NonQM!$U$21, $G$10, 0)),
   NonQM!$U$13 = $C$4
), NA(), "")</f>
        <v/>
      </c>
      <c r="W71" s="162" t="s">
        <v>571</v>
      </c>
      <c r="Y71" s="162" t="s">
        <v>273</v>
      </c>
      <c r="Z71" s="224" t="str">
        <f>IF(AND(
   ISNUMBER(MATCH(NonQM!$U$12, $A$8, 0)),
   ISNUMBER(MATCH(NonQM!$U$11, $B$5:$B$11, 0)),
   ISNUMBER(MATCH(NonQM!$U$15, $D$18, 0)),
   ISNUMBER(MATCH(NonQM!$U$22, $J$3:$J$5, 0)),
   ISNUMBER(MATCH(NonQM!$U$21, $G$10, 0)),
   NonQM!$U$13 = $C$4
), NA(), "")</f>
        <v/>
      </c>
      <c r="AA71" s="162" t="s">
        <v>572</v>
      </c>
      <c r="AG71" s="162" t="s">
        <v>563</v>
      </c>
      <c r="AH71" s="224"/>
      <c r="AI71" s="162" t="s">
        <v>573</v>
      </c>
      <c r="AJ71" s="174"/>
      <c r="AK71" s="174"/>
      <c r="AL71" s="174"/>
      <c r="AM71" s="174"/>
      <c r="AN71" s="174"/>
      <c r="AO71" s="174"/>
      <c r="AP71" s="174"/>
    </row>
    <row r="72" spans="1:42" x14ac:dyDescent="0.25">
      <c r="A72" s="183" t="b" cm="1">
        <f t="array" ref="A72">IF(AND(NonQM!U11='Feed(WS)'!B10,NonQM!U16='Feed(WS)'!D5,NonQM!U12='Feed(WS)'!C7,OR(NonQM!U12=A3:A6),OR(NonQM!U21='Feed(WS)'!J3:J4)),TRUE,FALSE)</f>
        <v>0</v>
      </c>
      <c r="B72" s="172" t="s">
        <v>574</v>
      </c>
      <c r="C72"/>
      <c r="F72" s="162" t="s">
        <v>575</v>
      </c>
      <c r="G72" s="223" t="str" cm="1">
        <f t="array" ref="G72">IF(AND(NonQM!U13=C3,OR(NonQM!U18=E4:E6)),NA(),"")</f>
        <v/>
      </c>
      <c r="H72" s="162" t="s">
        <v>576</v>
      </c>
      <c r="J72"/>
      <c r="K72"/>
      <c r="L72" s="162" t="s">
        <v>577</v>
      </c>
      <c r="M72" s="223"/>
      <c r="N72" s="162" t="s">
        <v>578</v>
      </c>
      <c r="Q72" s="172" t="s">
        <v>311</v>
      </c>
      <c r="R72" s="223" t="str">
        <f>IF(AND(
   ISNUMBER(MATCH(NonQM!$U$12, $A$7:$A$8, 0)),
   ISNUMBER(MATCH(NonQM!$U$11, $B$5:$B$11, 0)),
   ISNUMBER(MATCH(NonQM!$U$22, $J$6:$J$7, 0)),
   ISNUMBER(MATCH(NonQM!$U$21, $G$11, 0)),
   NonQM!$U$13 = $C$4
), NA(), "")</f>
        <v/>
      </c>
      <c r="S72" s="172" t="s">
        <v>579</v>
      </c>
      <c r="U72" s="162" t="s">
        <v>273</v>
      </c>
      <c r="V72" s="224" t="str">
        <f>IF(AND(
   ISNUMBER(MATCH(NonQM!$U$12, $A$8, 0)),
   ISNUMBER(MATCH(NonQM!$U$11, $B$5:$B$11, 0)),
   ISNUMBER(MATCH(NonQM!$U$15, $D$16, 0)),
   ISNUMBER(MATCH(NonQM!$U$22, $J$6:$J$7, 0)),
   ISNUMBER(MATCH(NonQM!$U$21, $G$10, 0)),
   NonQM!$U$13 = $C$4
), NA(), "")</f>
        <v/>
      </c>
      <c r="W72" s="162" t="s">
        <v>580</v>
      </c>
      <c r="Y72" s="162" t="s">
        <v>273</v>
      </c>
      <c r="Z72" s="224" t="str">
        <f>IF(AND(
   ISNUMBER(MATCH(NonQM!$U$12, $A$8, 0)),
   ISNUMBER(MATCH(NonQM!$U$11, $B$4:$B$11, 0)),
   ISNUMBER(MATCH(NonQM!$U$15, $D$18, 0)),
   ISNUMBER(MATCH(NonQM!$U$22, $J$6:$J$7, 0)),
   ISNUMBER(MATCH(NonQM!$U$21, $G$10, 0)),
   NonQM!$U$13 = $C$4
), NA(), "")</f>
        <v/>
      </c>
      <c r="AA72" s="162" t="s">
        <v>581</v>
      </c>
      <c r="AG72" s="162" t="s">
        <v>563</v>
      </c>
      <c r="AH72" s="224"/>
      <c r="AI72" s="162" t="s">
        <v>555</v>
      </c>
      <c r="AJ72" s="174"/>
      <c r="AK72" s="174"/>
      <c r="AL72" s="174"/>
      <c r="AM72" s="174"/>
      <c r="AN72" s="174"/>
      <c r="AO72" s="174"/>
      <c r="AP72" s="174"/>
    </row>
    <row r="73" spans="1:42" ht="15.75" customHeight="1" x14ac:dyDescent="0.25">
      <c r="A73" s="183" t="b" cm="1">
        <f t="array" ref="A73">IF(AND(OR(NonQM!U21='Feed(WS)'!J3:J8),OR(NonQM!U11='Feed(WS)'!B10:B11),NonQM!U12='Feed(WS)'!C3),TRUE(),FALSE)</f>
        <v>0</v>
      </c>
      <c r="B73" s="172" t="s">
        <v>582</v>
      </c>
      <c r="C73"/>
      <c r="F73" s="162" t="s">
        <v>583</v>
      </c>
      <c r="G73" s="223" t="str" cm="1">
        <f t="array" ref="G73">IF(AND(OR(NonQM!U20=F4:F6),OR(NonQM!U13=C3)),NA(),"")</f>
        <v/>
      </c>
      <c r="H73" s="162" t="s">
        <v>584</v>
      </c>
      <c r="J73"/>
      <c r="K73"/>
      <c r="L73" s="162" t="s">
        <v>585</v>
      </c>
      <c r="M73" s="223"/>
      <c r="N73" s="162" t="s">
        <v>586</v>
      </c>
      <c r="Q73" s="172" t="s">
        <v>311</v>
      </c>
      <c r="R73" s="223" t="str">
        <f>IF(AND(
   ISNUMBER(MATCH(NonQM!$U$12, $A$9:$A$12, 0)),
   ISNUMBER(MATCH(NonQM!$U$11, $B$4:$B$11, 0)),
   ISNUMBER(MATCH(NonQM!$U$22, $J$3:$J$5, 0)),
   ISNUMBER(MATCH(NonQM!$U$21, $G$11, 0)),
   NonQM!$U$13 = $C$4
), NA(), "")</f>
        <v/>
      </c>
      <c r="S73" s="172" t="s">
        <v>587</v>
      </c>
      <c r="U73" s="162" t="s">
        <v>273</v>
      </c>
      <c r="V73" s="224" t="str">
        <f>IF(AND(
   ISNUMBER(MATCH(NonQM!$U$12, $A$9, 0)),
   ISNUMBER(MATCH(NonQM!$U$11, $B$4:$B$11, 0)),
   ISNUMBER(MATCH(NonQM!$U$15, $D$16, 0)),
   ISNUMBER(MATCH(NonQM!$U$22, $J$3:$J$5, 0)),
   ISNUMBER(MATCH(NonQM!$U$21, $G$10, 0)),
   NonQM!$U$13 = $C$4
), NA(), "")</f>
        <v/>
      </c>
      <c r="W73" s="162" t="s">
        <v>588</v>
      </c>
      <c r="Y73" s="162" t="s">
        <v>273</v>
      </c>
      <c r="Z73" s="224" t="str">
        <f>IF(AND(
   ISNUMBER(MATCH(NonQM!$U$12, $A$9, 0)),
   ISNUMBER(MATCH(NonQM!$U$11, $B$3:$B$11, 0)),
   ISNUMBER(MATCH(NonQM!$U$15, $D$18, 0)),
   ISNUMBER(MATCH(NonQM!$U$22, $J$3:$J$5, 0)),
   ISNUMBER(MATCH(NonQM!$U$21, $G$10, 0)),
   NonQM!$U$13 = $C$4
), NA(), "")</f>
        <v/>
      </c>
      <c r="AA73" s="199" t="s">
        <v>589</v>
      </c>
      <c r="AG73" s="162" t="s">
        <v>590</v>
      </c>
      <c r="AH73" s="224"/>
      <c r="AI73" s="162" t="s">
        <v>591</v>
      </c>
      <c r="AJ73" s="174"/>
      <c r="AK73" s="174"/>
      <c r="AL73" s="174"/>
      <c r="AM73" s="174"/>
      <c r="AN73" s="174"/>
      <c r="AO73" s="174"/>
      <c r="AP73" s="174"/>
    </row>
    <row r="74" spans="1:42" x14ac:dyDescent="0.25">
      <c r="A74" s="183" t="b">
        <f>IF(AND(NonQM!U21='Feed(WS)'!J4,OR(NonQM!U11='Feed(WS)'!B10),NonQM!U12='Feed(WS)'!C4),TRUE(),FALSE)</f>
        <v>0</v>
      </c>
      <c r="B74" s="172" t="s">
        <v>592</v>
      </c>
      <c r="F74" s="162" t="s">
        <v>593</v>
      </c>
      <c r="G74" s="223" t="str" cm="1">
        <f t="array" ref="G74">IF(AND(NonQM!U13=C3,OR(NonQM!U19=P6:P7)),NA(),"")</f>
        <v/>
      </c>
      <c r="H74" s="162" t="s">
        <v>594</v>
      </c>
      <c r="L74" s="162" t="s">
        <v>595</v>
      </c>
      <c r="M74" s="223"/>
      <c r="N74" s="162" t="s">
        <v>596</v>
      </c>
      <c r="Q74" s="172" t="s">
        <v>311</v>
      </c>
      <c r="R74" s="223" t="str">
        <f>IF(AND(
   ISNUMBER(MATCH(NonQM!$U$12, $A$9:$A$12, 0)),
   ISNUMBER(MATCH(NonQM!$U$11, $B$4:$B$11, 0)),
   ISNUMBER(MATCH(NonQM!$U$22, $J$6:$J$7, 0)),
   ISNUMBER(MATCH(NonQM!$U$21, $G$11, 0)),
   NonQM!$U$13 = $C$4
), NA(), "")</f>
        <v/>
      </c>
      <c r="S74" s="172" t="s">
        <v>597</v>
      </c>
      <c r="U74" s="162" t="s">
        <v>273</v>
      </c>
      <c r="V74" s="224" t="str">
        <f>IF(AND(
   ISNUMBER(MATCH(NonQM!$U$12, $A$9, 0)),
   ISNUMBER(MATCH(NonQM!$U$11, $B$4:$B$11, 0)),
   ISNUMBER(MATCH(NonQM!$U$15, $D$16, 0)),
   ISNUMBER(MATCH(NonQM!$U$22, $J$6:$J$7, 0)),
   ISNUMBER(MATCH(NonQM!$U$21, $G$10, 0)),
   NonQM!$U$13 = $C$4
), NA(), "")</f>
        <v/>
      </c>
      <c r="W74" s="162" t="s">
        <v>598</v>
      </c>
      <c r="Y74" s="162" t="s">
        <v>273</v>
      </c>
      <c r="Z74" s="224" t="str">
        <f>IF(AND(
   ISNUMBER(MATCH(NonQM!$U$12, $A$9, 0)),
   ISNUMBER(MATCH(NonQM!$U$11, $B$3:$B$11, 0)),
   ISNUMBER(MATCH(NonQM!$U$15, $D$18, 0)),
   ISNUMBER(MATCH(NonQM!$U$22, $J$6:$J$7, 0)),
   ISNUMBER(MATCH(NonQM!$U$21, $G$10, 0)),
   NonQM!$U$13 = $C$4
), NA(), "")</f>
        <v/>
      </c>
      <c r="AA74" s="162" t="s">
        <v>598</v>
      </c>
      <c r="AG74" s="162" t="s">
        <v>539</v>
      </c>
      <c r="AH74" s="224"/>
      <c r="AI74" s="162" t="s">
        <v>599</v>
      </c>
      <c r="AJ74" s="174"/>
      <c r="AK74" s="174"/>
      <c r="AL74" s="174"/>
      <c r="AM74" s="174"/>
      <c r="AN74" s="174"/>
      <c r="AO74" s="174"/>
      <c r="AP74" s="174"/>
    </row>
    <row r="75" spans="1:42" x14ac:dyDescent="0.25">
      <c r="A75" s="183" t="b" cm="1">
        <f t="array" ref="A75">IF(AND(OR(NonQM!U21='Feed(WS)'!J3:J4),OR(NonQM!U11='Feed(WS)'!B10),NonQM!U16='Feed(WS)'!D5),TRUE(),FALSE)</f>
        <v>0</v>
      </c>
      <c r="B75" s="172" t="s">
        <v>600</v>
      </c>
      <c r="F75" s="200" t="s">
        <v>601</v>
      </c>
      <c r="G75" s="223" t="str">
        <f>IF(AND(
   ISNUMBER(MATCH(NonQM!$U$11, $B$3:$B$11, 0)),
   ISNUMBER(MATCH(NonQM!$U$17, $D$3:$D$4, 0)),
   NonQM!$U$13 = $C$3,
   NonQM!$U$18 = $E$8
), NA(), "")</f>
        <v/>
      </c>
      <c r="H75" s="200" t="s">
        <v>602</v>
      </c>
      <c r="L75" s="162" t="s">
        <v>603</v>
      </c>
      <c r="M75" s="223"/>
      <c r="N75" s="162" t="s">
        <v>604</v>
      </c>
      <c r="Q75" s="172" t="s">
        <v>311</v>
      </c>
      <c r="R75" s="223" t="str">
        <f>IF(AND(
   ISNUMBER(MATCH(NonQM!$U$12, $A$3:$A$5, 0)),
   ISNUMBER(MATCH(NonQM!$U$11, $B$6:$B$11, 0)),
   ISNUMBER(MATCH(NonQM!$U$22, $J$6:$J$7, 0)),
   ISNUMBER(MATCH(NonQM!$U$21, $G$12, 0)),
   NonQM!$U$13 = $C$4
), NA(), "")</f>
        <v/>
      </c>
      <c r="S75" s="172" t="s">
        <v>605</v>
      </c>
      <c r="U75" s="200" t="s">
        <v>273</v>
      </c>
      <c r="V75" s="224"/>
      <c r="W75" s="200" t="s">
        <v>606</v>
      </c>
      <c r="AG75" s="162" t="s">
        <v>539</v>
      </c>
      <c r="AH75" s="224"/>
      <c r="AI75" s="162" t="s">
        <v>607</v>
      </c>
      <c r="AJ75" s="174"/>
      <c r="AK75" s="174"/>
      <c r="AL75" s="174"/>
      <c r="AM75" s="174"/>
      <c r="AN75" s="174"/>
      <c r="AO75" s="174"/>
      <c r="AP75" s="174"/>
    </row>
    <row r="76" spans="1:42" x14ac:dyDescent="0.25">
      <c r="F76" s="162" t="s">
        <v>281</v>
      </c>
      <c r="G76" s="223" t="str">
        <f>IF(AND(OR(NonQM!U24=K10),OR(NonQM!U11=B11)),NA(),"")</f>
        <v/>
      </c>
      <c r="H76" s="162" t="s">
        <v>820</v>
      </c>
      <c r="L76" s="162" t="s">
        <v>608</v>
      </c>
      <c r="M76" s="223"/>
      <c r="N76" s="162" t="s">
        <v>604</v>
      </c>
      <c r="Q76" s="172" t="s">
        <v>311</v>
      </c>
      <c r="R76" s="223" t="str">
        <f>IF(AND(
   ISNUMBER(MATCH(NonQM!$U$12, $A$6, 0)),
   ISNUMBER(MATCH(NonQM!$U$11, $B$5:$B$11, 0)),
   ISNUMBER(MATCH(NonQM!$U$22, $J$6:$J$7, 0)),
   ISNUMBER(MATCH(NonQM!$U$21, $G$12, 0)),
   NonQM!$U$13 = $C$4
), NA(), "")</f>
        <v/>
      </c>
      <c r="S76" s="172" t="s">
        <v>609</v>
      </c>
      <c r="U76" s="200" t="s">
        <v>273</v>
      </c>
      <c r="V76" s="224"/>
      <c r="W76" s="200" t="s">
        <v>610</v>
      </c>
      <c r="AG76" s="162" t="s">
        <v>539</v>
      </c>
      <c r="AH76" s="223"/>
      <c r="AI76" s="162" t="s">
        <v>611</v>
      </c>
      <c r="AJ76" s="174"/>
      <c r="AK76" s="174"/>
      <c r="AL76" s="174"/>
      <c r="AM76" s="174"/>
      <c r="AN76" s="174"/>
      <c r="AO76" s="174"/>
      <c r="AP76" s="174"/>
    </row>
    <row r="77" spans="1:42" x14ac:dyDescent="0.25">
      <c r="L77" s="162" t="s">
        <v>179</v>
      </c>
      <c r="M77" s="223"/>
      <c r="N77" s="162" t="s">
        <v>612</v>
      </c>
      <c r="Q77" s="201" t="s">
        <v>613</v>
      </c>
      <c r="R77" s="223" t="str">
        <f>IF(AND(
   ISNUMBER(MATCH(NonQM!$U$19, $P$6, 0)),
   ISNUMBER(MATCH(NonQM!$U$11, $B$7:$B$11, 0)),
   ISNUMBER(MATCH(NonQM!$U$22, $J$6:$J$7, 0)),
   ISNUMBER(MATCH(NonQM!$U$21, $G$5, 0)),
   NonQM!$U$13 = $C$4
), NA(), "")</f>
        <v/>
      </c>
      <c r="S77" s="201" t="s">
        <v>776</v>
      </c>
      <c r="AG77" s="162" t="s">
        <v>563</v>
      </c>
      <c r="AH77" s="224"/>
      <c r="AI77" s="162" t="s">
        <v>614</v>
      </c>
      <c r="AJ77" s="174"/>
      <c r="AK77" s="174"/>
      <c r="AL77" s="174"/>
      <c r="AM77" s="174"/>
      <c r="AN77" s="174"/>
      <c r="AO77" s="174"/>
      <c r="AP77" s="174"/>
    </row>
    <row r="78" spans="1:42" x14ac:dyDescent="0.25">
      <c r="Q78" s="201" t="s">
        <v>613</v>
      </c>
      <c r="R78" s="223" t="str">
        <f>IF(AND(
   ISNUMBER(MATCH(NonQM!$U$19, $P$6, 0)),
   ISNUMBER(MATCH(NonQM!$U$11, $B$10:$B$11, 0)),
   ISNUMBER(MATCH(NonQM!$U$22, $J$3:$J$8, 0)),
   ISNUMBER(MATCH(NonQM!$U$21, $G$7:$G$13, 0)),
   NonQM!$U$13 = $C$4
), NA(), "")</f>
        <v/>
      </c>
      <c r="S78" s="201" t="s">
        <v>615</v>
      </c>
      <c r="AG78" s="162" t="s">
        <v>563</v>
      </c>
      <c r="AH78" s="224"/>
      <c r="AI78" s="162" t="s">
        <v>616</v>
      </c>
      <c r="AJ78" s="174"/>
      <c r="AK78" s="174"/>
      <c r="AL78" s="174"/>
      <c r="AM78" s="174"/>
      <c r="AN78" s="174"/>
      <c r="AO78" s="174"/>
      <c r="AP78" s="174"/>
    </row>
    <row r="79" spans="1:42" x14ac:dyDescent="0.25">
      <c r="Q79" s="201" t="s">
        <v>613</v>
      </c>
      <c r="R79" s="223" t="str">
        <f>IF(AND(
   ISNUMBER(MATCH(NonQM!$U$19, $P$6, 0)),
   ISNUMBER(MATCH(NonQM!$U$22, $J$3:$J$8, 0)),
   ISNUMBER(MATCH(NonQM!$U$15, $D$16:$D$19, 0)),
   NonQM!$U$13 = $C$4
), NA(), "")</f>
        <v/>
      </c>
      <c r="S79" s="201" t="s">
        <v>617</v>
      </c>
      <c r="AG79" s="162" t="s">
        <v>563</v>
      </c>
      <c r="AH79" s="224"/>
      <c r="AI79" s="162" t="s">
        <v>618</v>
      </c>
      <c r="AJ79" s="174"/>
      <c r="AK79" s="174"/>
      <c r="AL79" s="174"/>
      <c r="AM79" s="174"/>
      <c r="AN79" s="174"/>
      <c r="AO79" s="174"/>
      <c r="AP79" s="174"/>
    </row>
    <row r="80" spans="1:42" ht="15.75" thickBot="1" x14ac:dyDescent="0.3">
      <c r="B80" s="855" t="s">
        <v>619</v>
      </c>
      <c r="C80" s="856"/>
      <c r="D80" s="856"/>
      <c r="E80" s="856"/>
      <c r="F80"/>
      <c r="I80" s="847" t="s">
        <v>619</v>
      </c>
      <c r="J80" s="848"/>
      <c r="K80" s="848"/>
      <c r="L80" s="849"/>
      <c r="Q80" s="162" t="s">
        <v>624</v>
      </c>
      <c r="AG80" s="162" t="s">
        <v>620</v>
      </c>
      <c r="AH80" s="438" t="str">
        <f>IF(AND(ISNUMBER(MATCH(NonQM!U23,L3:L4,0)),
ISNUMBER(MATCH(NonQM!U27,H3:H14,0))),NA(),"")</f>
        <v/>
      </c>
      <c r="AI80" s="162" t="s">
        <v>621</v>
      </c>
      <c r="AJ80" s="174"/>
      <c r="AK80" s="174"/>
      <c r="AL80" s="174"/>
      <c r="AM80" s="174"/>
      <c r="AN80" s="174"/>
      <c r="AO80" s="174"/>
      <c r="AP80" s="174"/>
    </row>
    <row r="81" spans="2:48" ht="15.75" thickBot="1" x14ac:dyDescent="0.3">
      <c r="B81" s="202" t="s">
        <v>622</v>
      </c>
      <c r="C81" s="203" t="s">
        <v>210</v>
      </c>
      <c r="D81" s="203" t="s">
        <v>221</v>
      </c>
      <c r="E81" s="204" t="s">
        <v>177</v>
      </c>
      <c r="F81" s="204" t="s">
        <v>196</v>
      </c>
      <c r="G81" s="205" t="s">
        <v>623</v>
      </c>
      <c r="I81" s="206" t="s">
        <v>622</v>
      </c>
      <c r="J81" s="207" t="s">
        <v>210</v>
      </c>
      <c r="K81" s="207" t="s">
        <v>221</v>
      </c>
      <c r="L81" s="204" t="s">
        <v>177</v>
      </c>
      <c r="M81" s="204" t="s">
        <v>178</v>
      </c>
      <c r="N81" s="208">
        <v>0</v>
      </c>
      <c r="AG81" s="174"/>
      <c r="AJ81" s="174"/>
      <c r="AK81" s="174"/>
      <c r="AL81" s="174"/>
      <c r="AM81" s="174"/>
      <c r="AN81" s="174"/>
      <c r="AO81" s="174"/>
      <c r="AP81" s="174"/>
    </row>
    <row r="82" spans="2:48" ht="15.75" x14ac:dyDescent="0.25">
      <c r="B82" s="209">
        <f>NonQM!B11</f>
        <v>5.99</v>
      </c>
      <c r="C82" s="210">
        <f>NonQM!C11</f>
        <v>97.962999999999994</v>
      </c>
      <c r="D82" s="210">
        <f>NonQM!D11</f>
        <v>97.662999999999997</v>
      </c>
      <c r="E82" s="211"/>
      <c r="F82" s="211"/>
      <c r="G82" s="212" t="e">
        <f>SUM(NonQM!V12:V35)+B67</f>
        <v>#N/A</v>
      </c>
      <c r="H82" s="213">
        <v>1</v>
      </c>
      <c r="I82" s="214">
        <f t="shared" ref="I82:I124" si="0">B82</f>
        <v>5.99</v>
      </c>
      <c r="J82" s="215" t="e">
        <f t="shared" ref="J82:J124" si="1">C82+$G$82</f>
        <v>#N/A</v>
      </c>
      <c r="K82" s="215" t="e">
        <f t="shared" ref="K82:K124" si="2">D82+$G$82</f>
        <v>#N/A</v>
      </c>
      <c r="L82" s="216"/>
      <c r="M82" s="216"/>
      <c r="N82" s="212" cm="1">
        <f t="array" ref="N82:N124">I82:I124</f>
        <v>5.99</v>
      </c>
      <c r="Q82" s="594"/>
      <c r="R82" s="594"/>
      <c r="S82" s="595"/>
      <c r="AH82" s="174"/>
      <c r="AJ82" s="174"/>
      <c r="AK82" s="174"/>
      <c r="AL82" s="174"/>
      <c r="AM82" s="174"/>
      <c r="AN82" s="174"/>
      <c r="AO82" s="174"/>
      <c r="AP82" s="174"/>
    </row>
    <row r="83" spans="2:48" x14ac:dyDescent="0.25">
      <c r="B83" s="217">
        <f>NonQM!B12</f>
        <v>6.125</v>
      </c>
      <c r="C83" s="218">
        <f>NonQM!C12</f>
        <v>98.587500000000006</v>
      </c>
      <c r="D83" s="218">
        <f>NonQM!D12</f>
        <v>98.287500000000023</v>
      </c>
      <c r="E83" s="219"/>
      <c r="F83" s="219"/>
      <c r="G83" s="162" t="s">
        <v>626</v>
      </c>
      <c r="H83" s="213">
        <v>2</v>
      </c>
      <c r="I83" s="220">
        <f t="shared" si="0"/>
        <v>6.125</v>
      </c>
      <c r="J83" s="221" t="e">
        <f t="shared" si="1"/>
        <v>#N/A</v>
      </c>
      <c r="K83" s="221" t="e">
        <f t="shared" si="2"/>
        <v>#N/A</v>
      </c>
      <c r="L83" s="222"/>
      <c r="M83" s="222"/>
      <c r="N83" s="212">
        <v>6.125</v>
      </c>
      <c r="R83" s="223"/>
      <c r="S83" s="172"/>
      <c r="AH83" s="174"/>
      <c r="AJ83" s="174"/>
      <c r="AK83" s="174"/>
      <c r="AL83" s="174"/>
      <c r="AM83" s="174"/>
      <c r="AN83" s="174"/>
      <c r="AO83" s="174"/>
      <c r="AP83" s="174"/>
    </row>
    <row r="84" spans="2:48" x14ac:dyDescent="0.25">
      <c r="B84" s="217">
        <f>NonQM!B13</f>
        <v>6.25</v>
      </c>
      <c r="C84" s="218">
        <f>NonQM!C13</f>
        <v>99.125500000000002</v>
      </c>
      <c r="D84" s="218">
        <f>NonQM!D13</f>
        <v>98.825500000000019</v>
      </c>
      <c r="E84" s="219"/>
      <c r="F84" s="219"/>
      <c r="G84" s="162" t="s">
        <v>627</v>
      </c>
      <c r="H84" s="213">
        <v>3</v>
      </c>
      <c r="I84" s="220">
        <f t="shared" si="0"/>
        <v>6.25</v>
      </c>
      <c r="J84" s="221" t="e">
        <f t="shared" si="1"/>
        <v>#N/A</v>
      </c>
      <c r="K84" s="221" t="e">
        <f t="shared" si="2"/>
        <v>#N/A</v>
      </c>
      <c r="L84" s="222"/>
      <c r="M84" s="222"/>
      <c r="N84" s="212">
        <v>6.25</v>
      </c>
      <c r="R84" s="223"/>
      <c r="S84" s="172"/>
      <c r="AG84" s="597" t="s">
        <v>652</v>
      </c>
      <c r="AH84" s="596"/>
      <c r="AI84" s="598"/>
      <c r="AJ84" s="174"/>
      <c r="AK84" s="174"/>
      <c r="AL84" s="174"/>
      <c r="AM84" s="174"/>
      <c r="AN84" s="174"/>
      <c r="AO84" s="174"/>
      <c r="AP84" s="174"/>
    </row>
    <row r="85" spans="2:48" ht="15.75" x14ac:dyDescent="0.25">
      <c r="B85" s="217">
        <f>NonQM!B14</f>
        <v>6.375</v>
      </c>
      <c r="C85" s="218">
        <f>NonQM!C14</f>
        <v>99.625500000000002</v>
      </c>
      <c r="D85" s="218">
        <f>NonQM!D14</f>
        <v>99.325500000000019</v>
      </c>
      <c r="E85" s="219"/>
      <c r="F85" s="219"/>
      <c r="G85" s="212" t="e">
        <f>NonQM!V40</f>
        <v>#N/A</v>
      </c>
      <c r="H85" s="213">
        <v>4</v>
      </c>
      <c r="I85" s="220">
        <f t="shared" si="0"/>
        <v>6.375</v>
      </c>
      <c r="J85" s="221" t="e">
        <f t="shared" si="1"/>
        <v>#N/A</v>
      </c>
      <c r="K85" s="221" t="e">
        <f t="shared" si="2"/>
        <v>#N/A</v>
      </c>
      <c r="L85" s="222"/>
      <c r="M85" s="222"/>
      <c r="N85" s="212">
        <v>6.375</v>
      </c>
      <c r="P85" s="399"/>
      <c r="U85" s="596"/>
      <c r="V85" s="596"/>
      <c r="W85" s="596"/>
      <c r="Y85" s="192" t="s">
        <v>628</v>
      </c>
      <c r="Z85" s="596"/>
      <c r="AA85" s="596"/>
      <c r="AG85" s="448" t="s">
        <v>653</v>
      </c>
      <c r="AH85" s="449" t="str">
        <f>IF(AND(
   ISNUMBER(MATCH(NonQM!$U$12, $A$9:$A$12, 0)),
   NonQM!$U$22 = $J$6), NA(), "")</f>
        <v/>
      </c>
      <c r="AI85" s="448" t="s">
        <v>654</v>
      </c>
      <c r="AJ85" s="174"/>
      <c r="AK85" s="174"/>
      <c r="AL85" s="174"/>
      <c r="AM85" s="174"/>
      <c r="AN85" s="174"/>
      <c r="AO85" s="174"/>
      <c r="AP85" s="174"/>
    </row>
    <row r="86" spans="2:48" ht="15.75" x14ac:dyDescent="0.25">
      <c r="B86" s="217">
        <f>NonQM!B15</f>
        <v>6.4989999999999997</v>
      </c>
      <c r="C86" s="218">
        <f>NonQM!C15</f>
        <v>100.06250000000001</v>
      </c>
      <c r="D86" s="218">
        <f>NonQM!D15</f>
        <v>99.762500000000017</v>
      </c>
      <c r="E86" s="219"/>
      <c r="F86" s="219"/>
      <c r="H86" s="213">
        <v>5</v>
      </c>
      <c r="I86" s="220">
        <f t="shared" si="0"/>
        <v>6.4989999999999997</v>
      </c>
      <c r="J86" s="221" t="e">
        <f t="shared" si="1"/>
        <v>#N/A</v>
      </c>
      <c r="K86" s="221" t="e">
        <f t="shared" si="2"/>
        <v>#N/A</v>
      </c>
      <c r="L86" s="222"/>
      <c r="M86" s="222"/>
      <c r="N86" s="212">
        <v>6.4989999999999997</v>
      </c>
      <c r="P86" s="399"/>
      <c r="U86" s="162" t="s">
        <v>273</v>
      </c>
      <c r="V86" s="223" t="str">
        <f>IF(AND(
   ISNUMBER(MATCH(NonQM!$U$12, $A$3:$A$7, 0)),
   ISNUMBER(MATCH(NonQM!$U$11, $B$10:$B$11, 0)),
   ISNUMBER(MATCH(NonQM!$U$15, $D$18, 0)),
   ISNUMBER(MATCH(NonQM!$U$22, $J$3, 0)),
   ISNUMBER(MATCH(NonQM!$U$21, $G$5, 0)),
   NonQM!$U$13 = $C$4
), NA(), "")</f>
        <v/>
      </c>
      <c r="W86" s="162" t="s">
        <v>275</v>
      </c>
      <c r="Y86" s="223" t="s">
        <v>273</v>
      </c>
      <c r="Z86" s="223" t="str">
        <f>IF(AND(
   ISNUMBER(MATCH(NonQM!$U$12, $A$3:$A$7, 0)),
   ISNUMBER(MATCH(NonQM!$U$11, $B$9:$B$11, 0)),
   ISNUMBER(MATCH(NonQM!$U$15, $D$19, 0)),
   ISNUMBER(MATCH(NonQM!$U$22, $J$3, 0)),
   ISNUMBER(MATCH(NonQM!$U$21, $G$5:$G$7, 0)),
   NonQM!$U$13 = $C$4
), NA(), "")</f>
        <v/>
      </c>
      <c r="AA86" s="223" t="s">
        <v>629</v>
      </c>
      <c r="AG86" s="448" t="s">
        <v>655</v>
      </c>
      <c r="AH86" s="449" t="str">
        <f>IF(AND(
   ISNUMBER(MATCH(NonQM!$U$12, $A$9:$A$12, 0)),
   NonQM!$U$22 = $J$4), NA(), "")</f>
        <v/>
      </c>
      <c r="AI86" s="448" t="s">
        <v>656</v>
      </c>
      <c r="AJ86" s="174"/>
      <c r="AK86" s="174"/>
      <c r="AL86" s="174"/>
      <c r="AM86" s="174"/>
      <c r="AN86" s="174"/>
      <c r="AO86" s="174"/>
      <c r="AP86" s="174"/>
    </row>
    <row r="87" spans="2:48" ht="15.75" x14ac:dyDescent="0.25">
      <c r="B87" s="217">
        <f>NonQM!B16</f>
        <v>6.625</v>
      </c>
      <c r="C87" s="218">
        <f>NonQM!C16</f>
        <v>100.46050000000001</v>
      </c>
      <c r="D87" s="218">
        <f>NonQM!D16</f>
        <v>100.16050000000001</v>
      </c>
      <c r="E87" s="219"/>
      <c r="F87" s="219"/>
      <c r="H87" s="213">
        <v>6</v>
      </c>
      <c r="I87" s="220">
        <f t="shared" si="0"/>
        <v>6.625</v>
      </c>
      <c r="J87" s="221" t="e">
        <f t="shared" si="1"/>
        <v>#N/A</v>
      </c>
      <c r="K87" s="221" t="e">
        <f t="shared" si="2"/>
        <v>#N/A</v>
      </c>
      <c r="L87" s="222"/>
      <c r="M87" s="222"/>
      <c r="N87" s="212">
        <v>6.625</v>
      </c>
      <c r="P87" s="399"/>
      <c r="U87" s="162" t="s">
        <v>273</v>
      </c>
      <c r="V87" s="223" t="str">
        <f>IF(AND(
   ISNUMBER(MATCH(NonQM!$U$12, $A$8, 0)),
   ISNUMBER(MATCH(NonQM!$U$11, $B$9:$B$11, 0)),
   ISNUMBER(MATCH(NonQM!$U$15, $D$18, 0)),
   ISNUMBER(MATCH(NonQM!$U$22, $J$3, 0)),
   ISNUMBER(MATCH(NonQM!$U$21, $G$5, 0)),
   NonQM!$U$13 = $C$4
), NA(), "")</f>
        <v/>
      </c>
      <c r="W87" s="162" t="s">
        <v>630</v>
      </c>
      <c r="Y87" s="162" t="s">
        <v>273</v>
      </c>
      <c r="Z87" s="223" t="str">
        <f>IF(AND(
   ISNUMBER(MATCH(NonQM!$U$12, $A$8, 0)),
   ISNUMBER(MATCH(NonQM!$U$11, $B$9:$B$11, 0)),
   ISNUMBER(MATCH(NonQM!$U$15, $D$18, 0)),
   ISNUMBER(MATCH(NonQM!$U$22, $J$3:$J$5, 0)),
   ISNUMBER(MATCH(NonQM!$U$21, $G$5:$G$7, 0)),
   NonQM!$U$13 = $C$4
), NA(), "")</f>
        <v/>
      </c>
      <c r="AA87" s="162" t="s">
        <v>286</v>
      </c>
      <c r="AG87" s="448" t="s">
        <v>660</v>
      </c>
      <c r="AH87" s="449" t="str">
        <f>IF(AND(
   ISNUMBER(MATCH(NonQM!$U$12, $A$3:$A$8, 0)),
   NonQM!$U$22 = $J$5), NA(), "")</f>
        <v/>
      </c>
      <c r="AI87" s="448" t="s">
        <v>661</v>
      </c>
      <c r="AJ87" s="174"/>
      <c r="AK87" s="174"/>
      <c r="AL87" s="174"/>
      <c r="AM87" s="174"/>
      <c r="AN87" s="174"/>
      <c r="AO87" s="174"/>
      <c r="AP87" s="174"/>
    </row>
    <row r="88" spans="2:48" ht="15.75" x14ac:dyDescent="0.25">
      <c r="B88" s="217">
        <f>NonQM!B17</f>
        <v>6.75</v>
      </c>
      <c r="C88" s="218">
        <f>NonQM!C17</f>
        <v>100.85150000000002</v>
      </c>
      <c r="D88" s="218">
        <f>NonQM!D17</f>
        <v>100.55150000000002</v>
      </c>
      <c r="E88" s="219"/>
      <c r="F88" s="219"/>
      <c r="H88" s="213">
        <v>7</v>
      </c>
      <c r="I88" s="220">
        <f t="shared" si="0"/>
        <v>6.75</v>
      </c>
      <c r="J88" s="221" t="e">
        <f t="shared" si="1"/>
        <v>#N/A</v>
      </c>
      <c r="K88" s="221" t="e">
        <f t="shared" si="2"/>
        <v>#N/A</v>
      </c>
      <c r="L88" s="222"/>
      <c r="M88" s="222"/>
      <c r="N88" s="212">
        <v>6.75</v>
      </c>
      <c r="P88" s="399"/>
      <c r="Y88" s="162" t="s">
        <v>273</v>
      </c>
      <c r="Z88" s="223" t="str">
        <f>IF(AND(
   ISNUMBER(MATCH(NonQM!$U$12, $A$9:$A$12, 0)),
   ISNUMBER(MATCH(NonQM!$U$11, $B$8:$B$11, 0)),
   ISNUMBER(MATCH(NonQM!$U$15, $D$18, 0)),
   ISNUMBER(MATCH(NonQM!$U$22, $J$3:$J$5, 0)),
   ISNUMBER(MATCH(NonQM!$U$21, $G$5:$G$7, 0)),
   NonQM!$U$13 = $C$4
), NA(), "")</f>
        <v/>
      </c>
      <c r="AA88" s="162" t="s">
        <v>298</v>
      </c>
      <c r="AG88" s="448" t="s">
        <v>663</v>
      </c>
      <c r="AH88" s="449" t="str">
        <f>IF(AND(
   ISNUMBER(MATCH(NonQM!$U$12, $A$3:$A$8, 0)),
   NonQM!$U$22 = $J$7), NA(), "")</f>
        <v/>
      </c>
      <c r="AI88" s="448" t="s">
        <v>662</v>
      </c>
      <c r="AJ88" s="174"/>
      <c r="AK88" s="174"/>
      <c r="AL88" s="174"/>
      <c r="AM88" s="174"/>
      <c r="AN88" s="174"/>
      <c r="AO88" s="174"/>
      <c r="AP88" s="174"/>
    </row>
    <row r="89" spans="2:48" ht="15.75" x14ac:dyDescent="0.25">
      <c r="B89" s="217">
        <f>NonQM!B18</f>
        <v>6.875</v>
      </c>
      <c r="C89" s="218">
        <f>NonQM!C18</f>
        <v>101.23450000000001</v>
      </c>
      <c r="D89" s="218">
        <f>NonQM!D18</f>
        <v>100.93450000000001</v>
      </c>
      <c r="E89" s="219"/>
      <c r="F89" s="219"/>
      <c r="G89" s="162" t="str">
        <f>NonQM!U17</f>
        <v>Choose a Selection</v>
      </c>
      <c r="H89" s="213">
        <v>8</v>
      </c>
      <c r="I89" s="220">
        <f t="shared" si="0"/>
        <v>6.875</v>
      </c>
      <c r="J89" s="221" t="e">
        <f t="shared" si="1"/>
        <v>#N/A</v>
      </c>
      <c r="K89" s="221" t="e">
        <f t="shared" si="2"/>
        <v>#N/A</v>
      </c>
      <c r="L89" s="222"/>
      <c r="M89" s="222"/>
      <c r="N89" s="212">
        <v>6.875</v>
      </c>
      <c r="P89" s="399"/>
      <c r="U89" s="162" t="s">
        <v>273</v>
      </c>
      <c r="V89" s="223" t="str">
        <f>IF(AND(
   ISNUMBER(MATCH(NonQM!$U$12, $A$3:$A$7, 0)),
   ISNUMBER(MATCH(NonQM!$U$11, $B$9:$B$11, 0)),
   ISNUMBER(MATCH(NonQM!$U$15, $D$19, 0)),
   ISNUMBER(MATCH(NonQM!$U$22, $J$3, 0)),
   ISNUMBER(MATCH(NonQM!$U$21, $G$5, 0)),
   NonQM!$U$13 = $C$4
), NA(), "")</f>
        <v/>
      </c>
      <c r="W89" s="162" t="s">
        <v>629</v>
      </c>
      <c r="Y89" s="162" t="s">
        <v>273</v>
      </c>
      <c r="Z89" s="223" t="str">
        <f>IF(AND(
   ISNUMBER(MATCH(NonQM!$U$12, $A$3:$A$7, 0)),
   ISNUMBER(MATCH(NonQM!$U$11, $B$10:$B$11, 0)),
   ISNUMBER(MATCH(NonQM!$U$15, $D$18, 0)),
   ISNUMBER(MATCH(NonQM!$U$22, $J$3, 0)),
   ISNUMBER(MATCH(NonQM!$U$21, $G$10:$G$13, 0)),
   NonQM!$U$13 = $C$4
), NA(), "")</f>
        <v/>
      </c>
      <c r="AA89" s="162" t="s">
        <v>306</v>
      </c>
      <c r="AG89" s="448" t="s">
        <v>739</v>
      </c>
      <c r="AH89" s="449" t="str">
        <f>IF(AND(
   ISNUMBER(MATCH(NonQM!$U$12, $A$9:$A$12, 0)),
   NonQM!$U$18 = $E$9
), NA(), "")</f>
        <v/>
      </c>
      <c r="AI89" s="448" t="s">
        <v>740</v>
      </c>
      <c r="AJ89" s="174"/>
      <c r="AK89" s="174"/>
      <c r="AL89" s="174"/>
      <c r="AM89" s="174"/>
      <c r="AN89" s="174"/>
      <c r="AO89" s="174"/>
      <c r="AP89" s="174"/>
    </row>
    <row r="90" spans="2:48" ht="15.75" x14ac:dyDescent="0.25">
      <c r="B90" s="217">
        <f>NonQM!B19</f>
        <v>6.9989999999999997</v>
      </c>
      <c r="C90" s="218">
        <f>NonQM!C19</f>
        <v>101.60950000000001</v>
      </c>
      <c r="D90" s="218">
        <f>NonQM!D19</f>
        <v>101.30950000000001</v>
      </c>
      <c r="E90" s="219"/>
      <c r="F90" s="219"/>
      <c r="G90" s="162" t="str">
        <f>DSCR!S17</f>
        <v>DSCR</v>
      </c>
      <c r="H90" s="213">
        <v>9</v>
      </c>
      <c r="I90" s="220">
        <f t="shared" si="0"/>
        <v>6.9989999999999997</v>
      </c>
      <c r="J90" s="221" t="e">
        <f t="shared" si="1"/>
        <v>#N/A</v>
      </c>
      <c r="K90" s="221" t="e">
        <f t="shared" si="2"/>
        <v>#N/A</v>
      </c>
      <c r="L90" s="222"/>
      <c r="M90" s="222"/>
      <c r="N90" s="212">
        <v>6.9989999999999997</v>
      </c>
      <c r="P90" s="399"/>
      <c r="U90" s="162" t="s">
        <v>273</v>
      </c>
      <c r="V90" s="223" t="str">
        <f>IF(AND(
   ISNUMBER(MATCH(NonQM!$U$12, $A$8, 0)),
   ISNUMBER(MATCH(NonQM!$U$11, $B$8:$B$11, 0)),
   ISNUMBER(MATCH(NonQM!$U$15, $D$19, 0)),
   ISNUMBER(MATCH(NonQM!$U$22, $J$3, 0)),
   ISNUMBER(MATCH(NonQM!$U$21, $G$5, 0)),
   NonQM!$U$13 = $C$4
), NA(), "")</f>
        <v/>
      </c>
      <c r="W90" s="162" t="s">
        <v>631</v>
      </c>
      <c r="Y90" s="162" t="s">
        <v>273</v>
      </c>
      <c r="Z90" s="223" t="str">
        <f>IF(AND(
   ISNUMBER(MATCH(NonQM!$U$12, $A$8, 0)),
   ISNUMBER(MATCH(NonQM!$U$11, $B$9:$B$11, 0)),
   ISNUMBER(MATCH(NonQM!$U$15, $D$16, 0)),
   ISNUMBER(MATCH(NonQM!$U$22, $J$3, 0)),
   ISNUMBER(MATCH(NonQM!$U$21, $G$10:$G$13, 0)),
   NonQM!$U$13 = $C$4
), NA(), "")</f>
        <v/>
      </c>
      <c r="AA90" s="162" t="s">
        <v>313</v>
      </c>
      <c r="AG90" s="448" t="s">
        <v>739</v>
      </c>
      <c r="AH90" s="449" t="str">
        <f>IF(AND(
   ISNUMBER(MATCH(NonQM!$U$12, $A$3:$A$12, 0)),
   ISNUMBER(MATCH(NonQM!$U$23, $L$4:$L$6, 0)),
   NonQM!$U$18 = $E$9
), NA(), "")</f>
        <v/>
      </c>
      <c r="AI90" s="448" t="s">
        <v>741</v>
      </c>
      <c r="AJ90" s="174"/>
      <c r="AK90" s="174"/>
      <c r="AL90" s="174"/>
      <c r="AM90" s="174"/>
      <c r="AN90" s="174"/>
      <c r="AO90" s="174"/>
      <c r="AP90" s="174"/>
    </row>
    <row r="91" spans="2:48" ht="15.75" x14ac:dyDescent="0.25">
      <c r="B91" s="217">
        <f>NonQM!B20</f>
        <v>7.125</v>
      </c>
      <c r="C91" s="218">
        <f>NonQM!C20</f>
        <v>101.97650000000002</v>
      </c>
      <c r="D91" s="218">
        <f>NonQM!D20</f>
        <v>101.67650000000002</v>
      </c>
      <c r="E91" s="219"/>
      <c r="F91" s="219"/>
      <c r="G91" s="162" t="str">
        <f>IF(DSCR!S24="DSCR 5-8", "DSCR 5-8", "")</f>
        <v/>
      </c>
      <c r="H91" s="213">
        <v>10</v>
      </c>
      <c r="I91" s="220">
        <f t="shared" si="0"/>
        <v>7.125</v>
      </c>
      <c r="J91" s="221" t="e">
        <f t="shared" si="1"/>
        <v>#N/A</v>
      </c>
      <c r="K91" s="221" t="e">
        <f t="shared" si="2"/>
        <v>#N/A</v>
      </c>
      <c r="L91" s="222"/>
      <c r="M91" s="222"/>
      <c r="N91" s="212">
        <v>7.125</v>
      </c>
      <c r="P91" s="399"/>
      <c r="U91" s="162" t="s">
        <v>273</v>
      </c>
      <c r="V91" s="223" t="str">
        <f>IF(AND(
   ISNUMBER(MATCH(NonQM!$U$12, $A$9:$A$12, 0)),
   ISNUMBER(MATCH(NonQM!$U$11, $B$7:$B$11, 0)),
   ISNUMBER(MATCH(NonQM!$U$15, $D$19, 0)),
   ISNUMBER(MATCH(NonQM!$U$22, $J$3, 0)),
   ISNUMBER(MATCH(NonQM!$U$21, $G$5, 0)),
   NonQM!$U$13 = $C$4
), NA(), "")</f>
        <v/>
      </c>
      <c r="W91" s="162" t="s">
        <v>632</v>
      </c>
      <c r="Y91" s="162" t="s">
        <v>273</v>
      </c>
      <c r="Z91" s="223" t="str">
        <f>IF(AND(
   ISNUMBER(MATCH(NonQM!$U$12, $A$9:$A$12, 0)),
   ISNUMBER(MATCH(NonQM!$U$11, $B$8:$B$11, 0)),
   ISNUMBER(MATCH(NonQM!$U$15, $D$16, 0)),
   ISNUMBER(MATCH(NonQM!$U$22, $J$3, 0)),
   ISNUMBER(MATCH(NonQM!$U$21, $G$10:$G$13, 0)),
   NonQM!$U$13 = $C$4
), NA(), "")</f>
        <v/>
      </c>
      <c r="AA91" s="162" t="s">
        <v>318</v>
      </c>
      <c r="AG91" s="448" t="s">
        <v>739</v>
      </c>
      <c r="AH91" s="449" t="s">
        <v>228</v>
      </c>
      <c r="AI91" s="448" t="s">
        <v>742</v>
      </c>
      <c r="AJ91" s="174"/>
      <c r="AK91" s="174"/>
      <c r="AL91" s="174"/>
      <c r="AM91" s="174"/>
      <c r="AN91" s="174"/>
      <c r="AO91" s="174"/>
      <c r="AP91" s="174"/>
    </row>
    <row r="92" spans="2:48" ht="15.75" x14ac:dyDescent="0.25">
      <c r="B92" s="217">
        <f>NonQM!B21</f>
        <v>7.25</v>
      </c>
      <c r="C92" s="218">
        <f>NonQM!C21</f>
        <v>102.33550000000001</v>
      </c>
      <c r="D92" s="218">
        <f>NonQM!D21</f>
        <v>102.03550000000001</v>
      </c>
      <c r="E92" s="219"/>
      <c r="F92" s="219"/>
      <c r="H92" s="213">
        <v>11</v>
      </c>
      <c r="I92" s="220">
        <f t="shared" si="0"/>
        <v>7.25</v>
      </c>
      <c r="J92" s="221" t="e">
        <f t="shared" si="1"/>
        <v>#N/A</v>
      </c>
      <c r="K92" s="221" t="e">
        <f t="shared" si="2"/>
        <v>#N/A</v>
      </c>
      <c r="L92" s="222"/>
      <c r="M92" s="222"/>
      <c r="N92" s="212">
        <v>7.25</v>
      </c>
      <c r="P92" s="399"/>
      <c r="Y92" s="162" t="s">
        <v>273</v>
      </c>
      <c r="Z92" s="223" t="str">
        <f>IF(AND(
   ISNUMBER(MATCH(NonQM!$U$12, $A$3:$A$8, 0)),
   ISNUMBER(MATCH(NonQM!$U$11, $B$10:$B$11, 0)),
   ISNUMBER(MATCH(NonQM!$U$15, $D$16, 0)),
   ISNUMBER(MATCH(NonQM!$U$22, $J$4:$J$5, 0)),
   ISNUMBER(MATCH(NonQM!$U$21, $G$5:$G$7, 0)),
   NonQM!$U$13 = $C$4
), NA(), "")</f>
        <v/>
      </c>
      <c r="AA92" s="162" t="s">
        <v>326</v>
      </c>
      <c r="AG92" s="450"/>
      <c r="AH92" s="450"/>
      <c r="AI92" s="450"/>
      <c r="AM92" s="174"/>
      <c r="AN92" s="174"/>
      <c r="AO92" s="174"/>
      <c r="AP92" s="174"/>
      <c r="AQ92" s="174"/>
      <c r="AR92" s="174"/>
      <c r="AS92" s="174"/>
      <c r="AT92" s="174"/>
      <c r="AU92" s="174"/>
      <c r="AV92" s="174"/>
    </row>
    <row r="93" spans="2:48" ht="15.75" x14ac:dyDescent="0.25">
      <c r="B93" s="217">
        <f>NonQM!B22</f>
        <v>7.375</v>
      </c>
      <c r="C93" s="218">
        <f>NonQM!C22</f>
        <v>102.68750000000001</v>
      </c>
      <c r="D93" s="218">
        <f>NonQM!D22</f>
        <v>102.38750000000002</v>
      </c>
      <c r="E93" s="219"/>
      <c r="F93" s="219"/>
      <c r="H93" s="213">
        <v>12</v>
      </c>
      <c r="I93" s="220">
        <f t="shared" si="0"/>
        <v>7.375</v>
      </c>
      <c r="J93" s="221" t="e">
        <f t="shared" si="1"/>
        <v>#N/A</v>
      </c>
      <c r="K93" s="221" t="e">
        <f t="shared" si="2"/>
        <v>#N/A</v>
      </c>
      <c r="L93" s="222"/>
      <c r="M93" s="222"/>
      <c r="N93" s="212">
        <v>7.375</v>
      </c>
      <c r="Y93" s="162" t="s">
        <v>273</v>
      </c>
      <c r="Z93" s="223" t="str">
        <f>IF(AND(
   ISNUMBER(MATCH(NonQM!$U$12, $A$9:$A$12, 0)),
   ISNUMBER(MATCH(NonQM!$U$11, $B$9:$B$11, 0)),
   ISNUMBER(MATCH(NonQM!$U$15, $D$16, 0)),
   ISNUMBER(MATCH(NonQM!$U$22, $J$4:$J$5, 0)),
   ISNUMBER(MATCH(NonQM!$U$21, $G$5, 0)),
   NonQM!$U$13 = $C$4
), NA(), "")</f>
        <v/>
      </c>
      <c r="AA93" s="162" t="s">
        <v>297</v>
      </c>
      <c r="AG93" s="450"/>
      <c r="AH93" s="450"/>
      <c r="AI93" s="450"/>
      <c r="AM93" s="174"/>
      <c r="AN93" s="174"/>
      <c r="AO93" s="174"/>
      <c r="AP93" s="174"/>
      <c r="AQ93" s="174"/>
      <c r="AR93" s="174"/>
      <c r="AS93" s="174"/>
      <c r="AT93" s="174"/>
      <c r="AU93" s="174"/>
      <c r="AV93" s="174"/>
    </row>
    <row r="94" spans="2:48" ht="15.75" x14ac:dyDescent="0.25">
      <c r="B94" s="217">
        <f>NonQM!B23</f>
        <v>7.4989999999999997</v>
      </c>
      <c r="C94" s="218">
        <f>NonQM!C23</f>
        <v>103.03150000000001</v>
      </c>
      <c r="D94" s="218">
        <f>NonQM!D23</f>
        <v>102.73150000000001</v>
      </c>
      <c r="E94" s="219"/>
      <c r="F94" s="219"/>
      <c r="G94" s="212" t="e">
        <f>SUM(DSCR!T12:T35)+B67</f>
        <v>#N/A</v>
      </c>
      <c r="H94" s="213">
        <v>13</v>
      </c>
      <c r="I94" s="220">
        <f t="shared" si="0"/>
        <v>7.4989999999999997</v>
      </c>
      <c r="J94" s="221" t="e">
        <f t="shared" si="1"/>
        <v>#N/A</v>
      </c>
      <c r="K94" s="221" t="e">
        <f t="shared" si="2"/>
        <v>#N/A</v>
      </c>
      <c r="L94" s="222"/>
      <c r="M94" s="222"/>
      <c r="N94" s="212">
        <v>7.4989999999999997</v>
      </c>
      <c r="Y94" s="162" t="s">
        <v>273</v>
      </c>
      <c r="Z94" s="223" t="str">
        <f>IF(AND(
   ISNUMBER(MATCH(NonQM!$U$12, $A$9:$A$12, 0)),
   ISNUMBER(MATCH(NonQM!$U$11, $B$8:$B$11, 0)),
   ISNUMBER(MATCH(NonQM!$U$15, $D$16, 0)),
   ISNUMBER(MATCH(NonQM!$U$22, $J$6:$J$7, 0)),
   ISNUMBER(MATCH(NonQM!$U$21, $G$5, 0)),
   NonQM!$U$13 = $C$4
), NA(), "")</f>
        <v/>
      </c>
      <c r="AA94" s="162" t="s">
        <v>340</v>
      </c>
      <c r="AG94" s="450"/>
      <c r="AH94" s="450"/>
      <c r="AI94" s="450"/>
      <c r="AM94" s="174"/>
      <c r="AN94" s="174"/>
      <c r="AO94" s="174"/>
      <c r="AP94" s="174"/>
      <c r="AQ94" s="174"/>
      <c r="AR94" s="174"/>
      <c r="AS94" s="174"/>
    </row>
    <row r="95" spans="2:48" ht="15.75" x14ac:dyDescent="0.25">
      <c r="B95" s="217">
        <f>NonQM!B24</f>
        <v>7.625</v>
      </c>
      <c r="C95" s="218">
        <f>NonQM!C24</f>
        <v>103.36750000000002</v>
      </c>
      <c r="D95" s="218">
        <f>NonQM!D24</f>
        <v>103.06750000000002</v>
      </c>
      <c r="E95" s="219"/>
      <c r="F95" s="219"/>
      <c r="H95" s="213">
        <v>14</v>
      </c>
      <c r="I95" s="220">
        <f t="shared" si="0"/>
        <v>7.625</v>
      </c>
      <c r="J95" s="221" t="e">
        <f t="shared" si="1"/>
        <v>#N/A</v>
      </c>
      <c r="K95" s="221" t="e">
        <f t="shared" si="2"/>
        <v>#N/A</v>
      </c>
      <c r="L95" s="222"/>
      <c r="M95" s="222"/>
      <c r="N95" s="212">
        <v>7.625</v>
      </c>
      <c r="Y95" s="162" t="s">
        <v>273</v>
      </c>
      <c r="Z95" s="224" t="str">
        <f>IF(AND(
   ISNUMBER(MATCH(NonQM!$U$12, $A$11:$A$12, 0)),
   ISNUMBER(MATCH(NonQM!$U$11, $B$7:$B$11, 0)),
   ISNUMBER(MATCH(NonQM!$U$15, $D$16, 0)),
   ISNUMBER(MATCH(NonQM!$U$22, $J$6:$J$7, 0)),
   ISNUMBER(MATCH(NonQM!$U$21, $G$7, 0)),
   NonQM!$U$13 = $C$4
), NA(), "")</f>
        <v/>
      </c>
      <c r="AA95" s="162" t="s">
        <v>347</v>
      </c>
      <c r="AG95" s="450"/>
      <c r="AH95" s="450"/>
      <c r="AI95" s="450"/>
      <c r="AM95" s="174"/>
      <c r="AN95" s="174"/>
      <c r="AO95" s="174"/>
      <c r="AP95" s="174"/>
      <c r="AQ95" s="174"/>
      <c r="AR95" s="174"/>
      <c r="AS95" s="174"/>
    </row>
    <row r="96" spans="2:48" ht="15.75" x14ac:dyDescent="0.25">
      <c r="B96" s="217">
        <f>NonQM!B25</f>
        <v>7.75</v>
      </c>
      <c r="C96" s="218">
        <f>NonQM!C25</f>
        <v>103.69550000000001</v>
      </c>
      <c r="D96" s="218">
        <f>NonQM!D25</f>
        <v>103.39550000000001</v>
      </c>
      <c r="E96" s="219"/>
      <c r="F96" s="219"/>
      <c r="H96" s="213">
        <v>15</v>
      </c>
      <c r="I96" s="220">
        <f t="shared" si="0"/>
        <v>7.75</v>
      </c>
      <c r="J96" s="221" t="e">
        <f t="shared" si="1"/>
        <v>#N/A</v>
      </c>
      <c r="K96" s="221" t="e">
        <f t="shared" si="2"/>
        <v>#N/A</v>
      </c>
      <c r="L96" s="222"/>
      <c r="M96" s="222"/>
      <c r="N96" s="212">
        <v>7.75</v>
      </c>
      <c r="Y96" s="162" t="s">
        <v>273</v>
      </c>
      <c r="Z96" s="223" t="str">
        <f>IF(AND(
   ISNUMBER(MATCH(NonQM!$U$12, $A$9:$A$12, 0)),
   ISNUMBER(MATCH(NonQM!$U$11, $B$8:$B$11, 0)),
   ISNUMBER(MATCH(NonQM!$U$15, $D$18, 0)),
   ISNUMBER(MATCH(NonQM!$U$22, $J$3:$J$5, 0)),
   ISNUMBER(MATCH(NonQM!$U$21, $G$5, 0)),
   NonQM!$U$13 = $C$4
), NA(), "")</f>
        <v/>
      </c>
      <c r="AA96" s="162" t="s">
        <v>353</v>
      </c>
      <c r="AG96" s="450"/>
      <c r="AH96" s="450"/>
      <c r="AI96" s="450"/>
      <c r="AK96"/>
      <c r="AL96"/>
      <c r="AM96"/>
      <c r="AN96"/>
      <c r="AO96"/>
      <c r="AP96"/>
      <c r="AQ96"/>
      <c r="AR96"/>
      <c r="AS96"/>
      <c r="AT96"/>
      <c r="AU96"/>
      <c r="AV96"/>
    </row>
    <row r="97" spans="2:48" ht="15.75" x14ac:dyDescent="0.25">
      <c r="B97" s="217">
        <f>NonQM!B26</f>
        <v>7.875</v>
      </c>
      <c r="C97" s="218">
        <f>NonQM!C26</f>
        <v>104.01550000000002</v>
      </c>
      <c r="D97" s="218">
        <f>NonQM!D26</f>
        <v>103.71550000000002</v>
      </c>
      <c r="E97" s="219"/>
      <c r="F97" s="219"/>
      <c r="G97" s="212"/>
      <c r="H97" s="213">
        <v>16</v>
      </c>
      <c r="I97" s="220">
        <f t="shared" si="0"/>
        <v>7.875</v>
      </c>
      <c r="J97" s="221" t="e">
        <f t="shared" si="1"/>
        <v>#N/A</v>
      </c>
      <c r="K97" s="221" t="e">
        <f t="shared" si="2"/>
        <v>#N/A</v>
      </c>
      <c r="L97" s="222"/>
      <c r="M97" s="222"/>
      <c r="N97" s="212">
        <v>7.875</v>
      </c>
      <c r="Y97" s="162" t="s">
        <v>273</v>
      </c>
      <c r="Z97" s="224" t="str">
        <f>IF(AND(
   ISNUMBER(MATCH(NonQM!$U$12, $A$9:$A$12, 0)),
   ISNUMBER(MATCH(NonQM!$U$11, $B$7:$B$11, 0)),
   ISNUMBER(MATCH(NonQM!$U$15, $D$18, 0)),
   ISNUMBER(MATCH(NonQM!$U$22, $J$6:$J$7, 0)),
   ISNUMBER(MATCH(NonQM!$U$21, $G$5, 0)),
   NonQM!$U$13 = $C$4
), NA(), "")</f>
        <v/>
      </c>
      <c r="AA97" s="162" t="s">
        <v>361</v>
      </c>
      <c r="AG97" s="450"/>
      <c r="AH97" s="450"/>
      <c r="AI97" s="450"/>
      <c r="AK97"/>
      <c r="AL97"/>
      <c r="AM97"/>
      <c r="AN97"/>
      <c r="AO97"/>
      <c r="AP97"/>
      <c r="AQ97"/>
      <c r="AR97"/>
      <c r="AS97"/>
      <c r="AT97"/>
      <c r="AU97"/>
      <c r="AV97"/>
    </row>
    <row r="98" spans="2:48" ht="15.75" x14ac:dyDescent="0.25">
      <c r="B98" s="217">
        <f>NonQM!B27</f>
        <v>7.9989999999999997</v>
      </c>
      <c r="C98" s="218">
        <f>NonQM!C27</f>
        <v>104.29650000000001</v>
      </c>
      <c r="D98" s="218">
        <f>NonQM!D27</f>
        <v>103.99650000000001</v>
      </c>
      <c r="E98" s="219"/>
      <c r="F98" s="219"/>
      <c r="G98" s="212"/>
      <c r="H98" s="213">
        <v>17</v>
      </c>
      <c r="I98" s="220">
        <f t="shared" si="0"/>
        <v>7.9989999999999997</v>
      </c>
      <c r="J98" s="221" t="e">
        <f t="shared" si="1"/>
        <v>#N/A</v>
      </c>
      <c r="K98" s="221" t="e">
        <f t="shared" si="2"/>
        <v>#N/A</v>
      </c>
      <c r="L98" s="222"/>
      <c r="M98" s="222"/>
      <c r="N98" s="212">
        <v>7.9989999999999997</v>
      </c>
      <c r="Y98" s="223" t="s">
        <v>273</v>
      </c>
      <c r="Z98" s="224" t="str">
        <f>IF(AND(
   ISNUMBER(MATCH(NonQM!$U$12, $A$3:$A$8, 0)),
   ISNUMBER(MATCH(NonQM!$U$11, $B$7:$B$11, 0)),
   ISNUMBER(MATCH(NonQM!$U$15, $D$19, 0)),
   ISNUMBER(MATCH(NonQM!$U$22, $J$6:$J$7, 0)),
   ISNUMBER(MATCH(NonQM!$U$21, $G$5:$G$7, 0)),
   NonQM!$U$13 = $C$4
), NA(), "")</f>
        <v/>
      </c>
      <c r="AA98" s="223" t="s">
        <v>633</v>
      </c>
      <c r="AG98" s="450"/>
      <c r="AH98" s="450"/>
      <c r="AI98" s="450"/>
      <c r="AK98"/>
      <c r="AL98"/>
      <c r="AM98"/>
      <c r="AN98"/>
      <c r="AO98"/>
      <c r="AP98"/>
      <c r="AQ98"/>
      <c r="AR98"/>
      <c r="AS98"/>
      <c r="AT98"/>
      <c r="AU98"/>
      <c r="AV98"/>
    </row>
    <row r="99" spans="2:48" ht="15.75" x14ac:dyDescent="0.25">
      <c r="B99" s="217">
        <f>NonQM!B28</f>
        <v>8.125</v>
      </c>
      <c r="C99" s="218">
        <f>NonQM!C28</f>
        <v>104.54650000000001</v>
      </c>
      <c r="D99" s="218">
        <f>NonQM!D28</f>
        <v>104.24650000000001</v>
      </c>
      <c r="E99" s="219"/>
      <c r="F99" s="219"/>
      <c r="H99" s="213">
        <v>18</v>
      </c>
      <c r="I99" s="225">
        <f t="shared" si="0"/>
        <v>8.125</v>
      </c>
      <c r="J99" s="226" t="e">
        <f t="shared" si="1"/>
        <v>#N/A</v>
      </c>
      <c r="K99" s="226" t="e">
        <f t="shared" si="2"/>
        <v>#N/A</v>
      </c>
      <c r="L99" s="227"/>
      <c r="M99" s="227"/>
      <c r="N99" s="212">
        <v>8.125</v>
      </c>
      <c r="Y99" s="162" t="s">
        <v>273</v>
      </c>
      <c r="Z99" s="224" t="str">
        <f>IF(AND(
   ISNUMBER(MATCH(NonQM!$U$12, $A$3:$A$7, 0)),
   ISNUMBER(MATCH(NonQM!$U$11, $B$8:$B$11, 0)),
   ISNUMBER(MATCH(NonQM!$U$15, $D$18, 0)),
   ISNUMBER(MATCH(NonQM!$U$22, $J$6:$J$7, 0)),
   ISNUMBER(MATCH(NonQM!$U$21, $G$7, 0)),
   NonQM!$U$13 = $C$4
), NA(), "")</f>
        <v/>
      </c>
      <c r="AA99" s="162" t="s">
        <v>384</v>
      </c>
      <c r="AG99" s="450"/>
      <c r="AH99" s="450"/>
      <c r="AI99" s="450"/>
      <c r="AK99"/>
      <c r="AL99"/>
      <c r="AM99"/>
      <c r="AN99"/>
      <c r="AO99"/>
      <c r="AP99"/>
      <c r="AQ99"/>
      <c r="AR99"/>
      <c r="AS99"/>
      <c r="AT99"/>
      <c r="AU99"/>
      <c r="AV99"/>
    </row>
    <row r="100" spans="2:48" ht="15.75" x14ac:dyDescent="0.25">
      <c r="B100" s="217">
        <f>NonQM!B29</f>
        <v>8.25</v>
      </c>
      <c r="C100" s="218">
        <f>NonQM!C29</f>
        <v>104.79650000000001</v>
      </c>
      <c r="D100" s="218">
        <f>NonQM!D29</f>
        <v>104.49650000000001</v>
      </c>
      <c r="E100" s="219"/>
      <c r="F100" s="219"/>
      <c r="H100" s="213">
        <v>19</v>
      </c>
      <c r="I100" s="225">
        <f t="shared" si="0"/>
        <v>8.25</v>
      </c>
      <c r="J100" s="226" t="e">
        <f t="shared" si="1"/>
        <v>#N/A</v>
      </c>
      <c r="K100" s="226" t="e">
        <f t="shared" si="2"/>
        <v>#N/A</v>
      </c>
      <c r="L100" s="227"/>
      <c r="M100" s="227"/>
      <c r="N100" s="212">
        <v>8.25</v>
      </c>
      <c r="Y100" s="162" t="s">
        <v>273</v>
      </c>
      <c r="Z100" s="224" t="str">
        <f>IF(AND(
   ISNUMBER(MATCH(NonQM!$U$12, $A$9:$A$10, 0)),
   ISNUMBER(MATCH(NonQM!$U$11, $B$7:$B$11, 0)),
   ISNUMBER(MATCH(NonQM!$U$15, $D$18, 0)),
   ISNUMBER(MATCH(NonQM!$U$22, $J$6:$J$7, 0)),
   ISNUMBER(MATCH(NonQM!$U$21, $G$7, 0)),
   NonQM!$U$13 = $C$4
), NA(), "")</f>
        <v/>
      </c>
      <c r="AA100" s="162" t="s">
        <v>394</v>
      </c>
      <c r="AG100" s="450"/>
      <c r="AH100" s="450"/>
      <c r="AI100" s="450"/>
      <c r="AK100"/>
      <c r="AL100"/>
      <c r="AM100"/>
      <c r="AN100"/>
      <c r="AO100"/>
      <c r="AP100"/>
      <c r="AQ100"/>
      <c r="AR100"/>
      <c r="AS100"/>
      <c r="AT100"/>
      <c r="AU100"/>
      <c r="AV100"/>
    </row>
    <row r="101" spans="2:48" ht="15.75" x14ac:dyDescent="0.25">
      <c r="B101" s="217">
        <f>NonQM!B30</f>
        <v>8.375</v>
      </c>
      <c r="C101" s="218">
        <f>NonQM!C30</f>
        <v>105.04650000000001</v>
      </c>
      <c r="D101" s="218">
        <f>NonQM!D30</f>
        <v>104.74650000000001</v>
      </c>
      <c r="E101" s="219"/>
      <c r="F101" s="219"/>
      <c r="H101" s="213">
        <v>20</v>
      </c>
      <c r="I101" s="220">
        <f t="shared" si="0"/>
        <v>8.375</v>
      </c>
      <c r="J101" s="221" t="e">
        <f t="shared" si="1"/>
        <v>#N/A</v>
      </c>
      <c r="K101" s="221" t="e">
        <f t="shared" si="2"/>
        <v>#N/A</v>
      </c>
      <c r="L101" s="222"/>
      <c r="M101" s="222"/>
      <c r="N101" s="212">
        <v>8.375</v>
      </c>
      <c r="Y101" s="162" t="s">
        <v>273</v>
      </c>
      <c r="Z101" s="224" t="str">
        <f>IF(AND(
   ISNUMBER(MATCH(NonQM!$U$12, $A$11:$A$12, 0)),
   ISNUMBER(MATCH(NonQM!$U$11, $B$7:$B$11, 0)),
   ISNUMBER(MATCH(NonQM!$U$15, $D$18, 0)),
   ISNUMBER(MATCH(NonQM!$U$22, $J$3:$J$5, 0)),
   ISNUMBER(MATCH(NonQM!$U$21, $G$7, 0)),
   NonQM!$U$13 = $C$4
), NA(), "")</f>
        <v/>
      </c>
      <c r="AA101" s="162" t="s">
        <v>405</v>
      </c>
      <c r="AG101" s="450"/>
      <c r="AH101" s="450"/>
      <c r="AI101" s="450"/>
      <c r="AK101"/>
      <c r="AL101"/>
      <c r="AM101"/>
      <c r="AN101"/>
      <c r="AO101"/>
      <c r="AP101"/>
      <c r="AQ101"/>
      <c r="AR101"/>
      <c r="AS101"/>
      <c r="AT101"/>
      <c r="AU101"/>
      <c r="AV101"/>
    </row>
    <row r="102" spans="2:48" ht="15.75" x14ac:dyDescent="0.25">
      <c r="B102" s="217">
        <f>NonQM!B31</f>
        <v>8.4990000000000006</v>
      </c>
      <c r="C102" s="218">
        <f>NonQM!C31</f>
        <v>105.29650000000001</v>
      </c>
      <c r="D102" s="218">
        <f>NonQM!D31</f>
        <v>104.99650000000001</v>
      </c>
      <c r="E102" s="219"/>
      <c r="F102" s="219"/>
      <c r="H102" s="213">
        <v>21</v>
      </c>
      <c r="I102" s="220">
        <f t="shared" si="0"/>
        <v>8.4990000000000006</v>
      </c>
      <c r="J102" s="221" t="e">
        <f t="shared" si="1"/>
        <v>#N/A</v>
      </c>
      <c r="K102" s="221" t="e">
        <f t="shared" si="2"/>
        <v>#N/A</v>
      </c>
      <c r="L102" s="222"/>
      <c r="M102" s="222"/>
      <c r="N102" s="212">
        <v>8.4990000000000006</v>
      </c>
      <c r="Y102" s="162" t="s">
        <v>273</v>
      </c>
      <c r="Z102" s="224" t="str">
        <f>IF(AND(
   ISNUMBER(MATCH(NonQM!$U$12, $A$3:$A$5, 0)),
   ISNUMBER(MATCH(NonQM!$U$11, $B$9:$B$11, 0)),
   ISNUMBER(MATCH(NonQM!$U$15, $D$18, 0)),
   ISNUMBER(MATCH(NonQM!$U$22, $J$3:$J$5, 0)),
   ISNUMBER(MATCH(NonQM!$U$21, $G$8, 0)),
   NonQM!$U$13 = $C$4
), NA(), "")</f>
        <v/>
      </c>
      <c r="AA102" s="162" t="s">
        <v>415</v>
      </c>
      <c r="AG102" s="450"/>
      <c r="AH102" s="450"/>
      <c r="AI102" s="450"/>
      <c r="AK102"/>
      <c r="AL102"/>
      <c r="AM102"/>
      <c r="AN102"/>
      <c r="AO102"/>
      <c r="AP102"/>
      <c r="AQ102"/>
      <c r="AR102"/>
      <c r="AS102"/>
      <c r="AT102"/>
      <c r="AU102"/>
      <c r="AV102"/>
    </row>
    <row r="103" spans="2:48" x14ac:dyDescent="0.25">
      <c r="B103" s="217">
        <f>NonQM!B32</f>
        <v>8.625</v>
      </c>
      <c r="C103" s="218">
        <f>NonQM!C32</f>
        <v>105.54650000000001</v>
      </c>
      <c r="D103" s="218">
        <f>NonQM!D32</f>
        <v>105.24650000000001</v>
      </c>
      <c r="E103" s="219"/>
      <c r="F103" s="219"/>
      <c r="H103" s="213">
        <v>22</v>
      </c>
      <c r="I103" s="220">
        <f t="shared" si="0"/>
        <v>8.625</v>
      </c>
      <c r="J103" s="221" t="e">
        <f t="shared" si="1"/>
        <v>#N/A</v>
      </c>
      <c r="K103" s="221" t="e">
        <f t="shared" si="2"/>
        <v>#N/A</v>
      </c>
      <c r="L103" s="222"/>
      <c r="M103" s="222"/>
      <c r="N103" s="212">
        <v>8.625</v>
      </c>
      <c r="Y103" s="162" t="s">
        <v>273</v>
      </c>
      <c r="Z103" s="224" t="str">
        <f>IF(AND(
   ISNUMBER(MATCH(NonQM!$U$12, $A$3:$A$5, 0)),
   ISNUMBER(MATCH(NonQM!$U$11, $B$8:$B$11, 0)),
   ISNUMBER(MATCH(NonQM!$U$15, $D$18, 0)),
   ISNUMBER(MATCH(NonQM!$U$22, $J$6:$J$7, 0)),
   ISNUMBER(MATCH(NonQM!$U$21, $G$8, 0)),
   NonQM!$U$13 = $C$4
), NA(), "")</f>
        <v/>
      </c>
      <c r="AA103" s="162" t="s">
        <v>426</v>
      </c>
      <c r="AK103"/>
      <c r="AL103"/>
      <c r="AM103"/>
      <c r="AN103"/>
      <c r="AO103"/>
      <c r="AP103"/>
      <c r="AQ103"/>
      <c r="AR103"/>
      <c r="AS103"/>
      <c r="AT103"/>
      <c r="AU103"/>
      <c r="AV103"/>
    </row>
    <row r="104" spans="2:48" x14ac:dyDescent="0.25">
      <c r="B104" s="217">
        <f>NonQM!B33</f>
        <v>8.75</v>
      </c>
      <c r="C104" s="218">
        <f>NonQM!C33</f>
        <v>105.73450000000001</v>
      </c>
      <c r="D104" s="218">
        <f>NonQM!D33</f>
        <v>105.43450000000001</v>
      </c>
      <c r="E104" s="219"/>
      <c r="F104" s="219"/>
      <c r="H104" s="213">
        <v>23</v>
      </c>
      <c r="I104" s="220">
        <f t="shared" si="0"/>
        <v>8.75</v>
      </c>
      <c r="J104" s="221" t="e">
        <f t="shared" si="1"/>
        <v>#N/A</v>
      </c>
      <c r="K104" s="221" t="e">
        <f t="shared" si="2"/>
        <v>#N/A</v>
      </c>
      <c r="L104" s="222"/>
      <c r="M104" s="222"/>
      <c r="N104" s="212">
        <v>8.75</v>
      </c>
      <c r="Y104" s="162" t="s">
        <v>273</v>
      </c>
      <c r="Z104" s="224" t="str">
        <f>IF(AND(
   ISNUMBER(MATCH(NonQM!$U$12, $A$6, 0)),
   ISNUMBER(MATCH(NonQM!$U$11, $B$9:$B$11, 0)),
   ISNUMBER(MATCH(NonQM!$U$15, $D$18, 0)),
   ISNUMBER(MATCH(NonQM!$U$22, $J$3:$J$5, 0)),
   ISNUMBER(MATCH(NonQM!$U$21, $G$8, 0)),
   NonQM!$U$13 = $C$4
), NA(), "")</f>
        <v/>
      </c>
      <c r="AA104" s="162" t="s">
        <v>434</v>
      </c>
      <c r="AK104"/>
      <c r="AL104"/>
      <c r="AM104"/>
      <c r="AN104"/>
      <c r="AO104"/>
      <c r="AP104"/>
      <c r="AQ104"/>
      <c r="AR104"/>
      <c r="AS104"/>
      <c r="AT104"/>
      <c r="AU104"/>
      <c r="AV104"/>
    </row>
    <row r="105" spans="2:48" x14ac:dyDescent="0.25">
      <c r="B105" s="217">
        <f>NonQM!B34</f>
        <v>8.875</v>
      </c>
      <c r="C105" s="218">
        <f>NonQM!C34</f>
        <v>105.92150000000001</v>
      </c>
      <c r="D105" s="218">
        <f>NonQM!D34</f>
        <v>105.62150000000001</v>
      </c>
      <c r="E105" s="219"/>
      <c r="F105" s="219"/>
      <c r="H105" s="213">
        <v>24</v>
      </c>
      <c r="I105" s="220">
        <f t="shared" si="0"/>
        <v>8.875</v>
      </c>
      <c r="J105" s="221" t="e">
        <f t="shared" si="1"/>
        <v>#N/A</v>
      </c>
      <c r="K105" s="221" t="e">
        <f t="shared" si="2"/>
        <v>#N/A</v>
      </c>
      <c r="L105" s="222"/>
      <c r="M105" s="222"/>
      <c r="N105" s="212">
        <v>8.875</v>
      </c>
      <c r="Y105" s="162" t="s">
        <v>273</v>
      </c>
      <c r="Z105" s="224" t="str">
        <f>IF(AND(
   ISNUMBER(MATCH(NonQM!$U$12, $A$6, 0)),
   ISNUMBER(MATCH(NonQM!$U$11, $B$8:$B$11, 0)),
   ISNUMBER(MATCH(NonQM!$U$15, $D$18, 0)),
   ISNUMBER(MATCH(NonQM!$U$22, $J$6:$J$7, 0)),
   ISNUMBER(MATCH(NonQM!$U$21, $G$8, 0)),
   NonQM!$U$13 = $C$4
), NA(), "")</f>
        <v/>
      </c>
      <c r="AA105" s="162" t="s">
        <v>442</v>
      </c>
      <c r="AK105"/>
      <c r="AL105"/>
      <c r="AM105"/>
      <c r="AN105"/>
      <c r="AO105"/>
      <c r="AP105"/>
      <c r="AQ105"/>
      <c r="AR105"/>
      <c r="AS105"/>
      <c r="AT105"/>
      <c r="AU105"/>
      <c r="AV105"/>
    </row>
    <row r="106" spans="2:48" x14ac:dyDescent="0.25">
      <c r="B106" s="217">
        <f>NonQM!B35</f>
        <v>8.9990000000000006</v>
      </c>
      <c r="C106" s="218">
        <f>NonQM!C35</f>
        <v>106.10950000000001</v>
      </c>
      <c r="D106" s="218">
        <f>NonQM!D35</f>
        <v>105.80950000000001</v>
      </c>
      <c r="E106" s="219"/>
      <c r="F106" s="219"/>
      <c r="H106" s="213">
        <v>25</v>
      </c>
      <c r="I106" s="220">
        <f t="shared" si="0"/>
        <v>8.9990000000000006</v>
      </c>
      <c r="J106" s="221" t="e">
        <f t="shared" si="1"/>
        <v>#N/A</v>
      </c>
      <c r="K106" s="221" t="e">
        <f t="shared" si="2"/>
        <v>#N/A</v>
      </c>
      <c r="L106" s="222"/>
      <c r="M106" s="222"/>
      <c r="N106" s="212">
        <v>8.9990000000000006</v>
      </c>
      <c r="Y106" s="162" t="s">
        <v>273</v>
      </c>
      <c r="Z106" s="224" t="str">
        <f>IF(AND(
   ISNUMBER(MATCH(NonQM!$U$12, $A$7, 0)),
   ISNUMBER(MATCH(NonQM!$U$11, $B$9:$B$11, 0)),
   ISNUMBER(MATCH(NonQM!$U$15, $D$18, 0)),
   ISNUMBER(MATCH(NonQM!$U$22, $J$3:$J$5, 0)),
   ISNUMBER(MATCH(NonQM!$U$21, $G$8, 0)),
   NonQM!$U$13 = $C$4
), NA(), "")</f>
        <v/>
      </c>
      <c r="AA106" s="162" t="s">
        <v>450</v>
      </c>
      <c r="AB106"/>
      <c r="AC106"/>
      <c r="AD106"/>
      <c r="AE106"/>
      <c r="AF106"/>
      <c r="AG106"/>
      <c r="AH106"/>
      <c r="AI106"/>
      <c r="AJ106"/>
      <c r="AK106"/>
      <c r="AL106"/>
      <c r="AM106"/>
      <c r="AN106"/>
    </row>
    <row r="107" spans="2:48" x14ac:dyDescent="0.25">
      <c r="B107" s="217">
        <f>NonQM!B36</f>
        <v>9.125</v>
      </c>
      <c r="C107" s="218">
        <f>NonQM!C36</f>
        <v>106.29650000000001</v>
      </c>
      <c r="D107" s="218">
        <f>NonQM!D36</f>
        <v>105.99650000000001</v>
      </c>
      <c r="E107" s="219"/>
      <c r="F107" s="219"/>
      <c r="H107" s="213">
        <v>26</v>
      </c>
      <c r="I107" s="220">
        <f t="shared" si="0"/>
        <v>9.125</v>
      </c>
      <c r="J107" s="221" t="e">
        <f t="shared" si="1"/>
        <v>#N/A</v>
      </c>
      <c r="K107" s="221" t="e">
        <f t="shared" si="2"/>
        <v>#N/A</v>
      </c>
      <c r="L107" s="222"/>
      <c r="M107" s="222"/>
      <c r="N107" s="212">
        <v>9.125</v>
      </c>
      <c r="Y107" s="162" t="s">
        <v>273</v>
      </c>
      <c r="Z107" s="223" t="str">
        <f>IF(AND(
   ISNUMBER(MATCH(NonQM!$U$12, $A$7, 0)),
   ISNUMBER(MATCH(NonQM!$U$11, $B$8:$B$11, 0)),
   ISNUMBER(MATCH(NonQM!$U$15, $D$18, 0)),
   ISNUMBER(MATCH(NonQM!$U$22, $J$6:$J$7, 0)),
   ISNUMBER(MATCH(NonQM!$U$21, $G$8, 0)),
   NonQM!$U$13 = $C$4
), NA(), "")</f>
        <v/>
      </c>
      <c r="AA107" s="162" t="s">
        <v>460</v>
      </c>
      <c r="AB107"/>
      <c r="AC107"/>
      <c r="AD107"/>
      <c r="AE107"/>
      <c r="AF107"/>
      <c r="AG107"/>
      <c r="AH107"/>
      <c r="AI107"/>
      <c r="AJ107"/>
      <c r="AK107"/>
      <c r="AL107"/>
      <c r="AM107"/>
      <c r="AN107"/>
    </row>
    <row r="108" spans="2:48" x14ac:dyDescent="0.25">
      <c r="B108" s="217">
        <f>NonQM!B37</f>
        <v>9.25</v>
      </c>
      <c r="C108" s="218">
        <f>NonQM!C37</f>
        <v>106.48450000000001</v>
      </c>
      <c r="D108" s="218">
        <f>NonQM!D37</f>
        <v>106.18450000000001</v>
      </c>
      <c r="E108" s="219"/>
      <c r="F108" s="219"/>
      <c r="H108" s="213">
        <v>27</v>
      </c>
      <c r="I108" s="220">
        <f t="shared" si="0"/>
        <v>9.25</v>
      </c>
      <c r="J108" s="221" t="e">
        <f t="shared" si="1"/>
        <v>#N/A</v>
      </c>
      <c r="K108" s="221" t="e">
        <f t="shared" si="2"/>
        <v>#N/A</v>
      </c>
      <c r="L108" s="222"/>
      <c r="M108" s="222"/>
      <c r="N108" s="212">
        <v>9.25</v>
      </c>
      <c r="Y108" s="162" t="s">
        <v>273</v>
      </c>
      <c r="Z108" s="223" t="str">
        <f>IF(AND(
   ISNUMBER(MATCH(NonQM!$U$12, $A$8, 0)),
   ISNUMBER(MATCH(NonQM!$U$11, $B$8:$B$11, 0)),
   ISNUMBER(MATCH(NonQM!$U$15, $D$18, 0)),
   ISNUMBER(MATCH(NonQM!$U$22, $J$3:$J$5, 0)),
   ISNUMBER(MATCH(NonQM!$U$21, $G$8, 0)),
   NonQM!$U$13 = $C$4
), NA(), "")</f>
        <v/>
      </c>
      <c r="AA108" s="162" t="s">
        <v>928</v>
      </c>
      <c r="AB108"/>
      <c r="AC108"/>
      <c r="AD108"/>
      <c r="AE108"/>
      <c r="AF108"/>
      <c r="AG108"/>
      <c r="AH108"/>
      <c r="AI108"/>
      <c r="AJ108"/>
      <c r="AK108"/>
      <c r="AL108"/>
      <c r="AM108"/>
      <c r="AN108"/>
    </row>
    <row r="109" spans="2:48" x14ac:dyDescent="0.25">
      <c r="B109" s="217">
        <f>NonQM!B38</f>
        <v>9.375</v>
      </c>
      <c r="C109" s="218">
        <f>NonQM!C38</f>
        <v>106.67150000000001</v>
      </c>
      <c r="D109" s="218">
        <f>NonQM!D38</f>
        <v>106.37150000000001</v>
      </c>
      <c r="E109" s="219"/>
      <c r="F109" s="219"/>
      <c r="H109" s="213">
        <v>28</v>
      </c>
      <c r="I109" s="220">
        <f t="shared" si="0"/>
        <v>9.375</v>
      </c>
      <c r="J109" s="221" t="e">
        <f t="shared" si="1"/>
        <v>#N/A</v>
      </c>
      <c r="K109" s="221" t="e">
        <f t="shared" si="2"/>
        <v>#N/A</v>
      </c>
      <c r="L109" s="222"/>
      <c r="M109" s="222"/>
      <c r="N109" s="212">
        <v>9.375</v>
      </c>
      <c r="Y109" s="162" t="s">
        <v>273</v>
      </c>
      <c r="Z109" s="223" t="str">
        <f>IF(AND(
   ISNUMBER(MATCH(NonQM!$U$12, $A$8, 0)),
   ISNUMBER(MATCH(NonQM!$U$11, $B$7:$B$11, 0)),
   ISNUMBER(MATCH(NonQM!$U$15, $D$18, 0)),
   ISNUMBER(MATCH(NonQM!$U$22, $J$6:$J$7, 0)),
   ISNUMBER(MATCH(NonQM!$U$21, $G$8, 0)),
   NonQM!$U$13 = $C$4
), NA(), "")</f>
        <v/>
      </c>
      <c r="AA109" s="162" t="s">
        <v>478</v>
      </c>
      <c r="AB109"/>
      <c r="AC109"/>
      <c r="AD109"/>
      <c r="AE109"/>
      <c r="AF109"/>
      <c r="AG109"/>
      <c r="AH109"/>
      <c r="AI109"/>
      <c r="AJ109"/>
      <c r="AK109"/>
      <c r="AL109"/>
      <c r="AM109"/>
      <c r="AN109"/>
    </row>
    <row r="110" spans="2:48" x14ac:dyDescent="0.25">
      <c r="B110" s="217">
        <f>NonQM!B39</f>
        <v>9.4990000000000006</v>
      </c>
      <c r="C110" s="218">
        <f>NonQM!C39</f>
        <v>106.85950000000001</v>
      </c>
      <c r="D110" s="218">
        <f>NonQM!D39</f>
        <v>106.55950000000001</v>
      </c>
      <c r="E110" s="219"/>
      <c r="F110" s="219"/>
      <c r="H110" s="213">
        <v>29</v>
      </c>
      <c r="I110" s="220">
        <f t="shared" si="0"/>
        <v>9.4990000000000006</v>
      </c>
      <c r="J110" s="221" t="e">
        <f t="shared" si="1"/>
        <v>#N/A</v>
      </c>
      <c r="K110" s="221" t="e">
        <f t="shared" si="2"/>
        <v>#N/A</v>
      </c>
      <c r="L110" s="222"/>
      <c r="M110" s="222"/>
      <c r="N110" s="212">
        <v>9.4990000000000006</v>
      </c>
      <c r="Y110" s="162" t="s">
        <v>273</v>
      </c>
      <c r="Z110" s="223" t="str">
        <f>IF(AND(
   ISNUMBER(MATCH(NonQM!$U$12, $A$9:$A$10, 0)),
   ISNUMBER(MATCH(NonQM!$U$11, $B$7:$B$11, 0)),
   ISNUMBER(MATCH(NonQM!$U$15, $D$18, 0)),
   ISNUMBER(MATCH(NonQM!$U$22, $J$3:$J$5, 0)),
   ISNUMBER(MATCH(NonQM!$U$21, $G$8, 0)),
   NonQM!$U$13 = $C$4
), NA(), "")</f>
        <v/>
      </c>
      <c r="AA110" s="162" t="s">
        <v>486</v>
      </c>
      <c r="AB110"/>
      <c r="AC110"/>
      <c r="AD110"/>
      <c r="AE110"/>
      <c r="AF110"/>
      <c r="AG110"/>
      <c r="AH110"/>
      <c r="AI110"/>
      <c r="AJ110"/>
      <c r="AK110"/>
      <c r="AL110"/>
      <c r="AM110"/>
      <c r="AN110"/>
    </row>
    <row r="111" spans="2:48" x14ac:dyDescent="0.25">
      <c r="B111" s="217">
        <f>NonQM!B40</f>
        <v>9.625</v>
      </c>
      <c r="C111" s="218">
        <f>NonQM!C40</f>
        <v>107.04650000000001</v>
      </c>
      <c r="D111" s="218">
        <f>NonQM!D40</f>
        <v>106.74650000000001</v>
      </c>
      <c r="E111" s="219"/>
      <c r="F111" s="219"/>
      <c r="H111" s="213">
        <v>30</v>
      </c>
      <c r="I111" s="220">
        <f t="shared" si="0"/>
        <v>9.625</v>
      </c>
      <c r="J111" s="221" t="e">
        <f t="shared" si="1"/>
        <v>#N/A</v>
      </c>
      <c r="K111" s="221" t="e">
        <f t="shared" si="2"/>
        <v>#N/A</v>
      </c>
      <c r="L111" s="222"/>
      <c r="M111" s="222"/>
      <c r="N111" s="212">
        <v>9.625</v>
      </c>
      <c r="Y111" s="162" t="s">
        <v>273</v>
      </c>
      <c r="Z111" s="224" t="str">
        <f>IF(AND(
   ISNUMBER(MATCH(NonQM!$U$12, $A$9:$A$10, 0)),
   ISNUMBER(MATCH(NonQM!$U$11, $B$6:$B$11, 0)),
   ISNUMBER(MATCH(NonQM!$U$15, $D$18, 0)),
   ISNUMBER(MATCH(NonQM!$U$22, $J$6:$J$7, 0)),
   ISNUMBER(MATCH(NonQM!$U$21, $G$8, 0)),
   NonQM!$U$13 = $C$4
), NA(), "")</f>
        <v/>
      </c>
      <c r="AA111" s="162" t="s">
        <v>496</v>
      </c>
      <c r="AB111"/>
      <c r="AC111"/>
      <c r="AD111"/>
      <c r="AE111"/>
      <c r="AF111"/>
      <c r="AG111"/>
      <c r="AH111"/>
      <c r="AI111"/>
      <c r="AJ111"/>
      <c r="AK111"/>
      <c r="AL111"/>
      <c r="AM111"/>
      <c r="AN111"/>
    </row>
    <row r="112" spans="2:48" x14ac:dyDescent="0.25">
      <c r="B112" s="217">
        <f>NonQM!B41</f>
        <v>9.75</v>
      </c>
      <c r="C112" s="218">
        <f>NonQM!C41</f>
        <v>107.23450000000001</v>
      </c>
      <c r="D112" s="218">
        <f>NonQM!D41</f>
        <v>106.93450000000001</v>
      </c>
      <c r="E112" s="219"/>
      <c r="F112" s="219"/>
      <c r="H112" s="213">
        <v>31</v>
      </c>
      <c r="I112" s="220">
        <f t="shared" si="0"/>
        <v>9.75</v>
      </c>
      <c r="J112" s="221" t="e">
        <f t="shared" si="1"/>
        <v>#N/A</v>
      </c>
      <c r="K112" s="221" t="e">
        <f t="shared" si="2"/>
        <v>#N/A</v>
      </c>
      <c r="L112" s="222"/>
      <c r="M112" s="222"/>
      <c r="N112" s="212">
        <v>9.75</v>
      </c>
      <c r="Y112" s="162" t="s">
        <v>273</v>
      </c>
      <c r="Z112" s="224" t="str">
        <f>IF(AND(
   ISNUMBER(MATCH(NonQM!$U$12, $A$3:$A$7, 0)),
   ISNUMBER(MATCH(NonQM!$U$11, $B$8:$B$11, 0)),
   ISNUMBER(MATCH(NonQM!$U$15, $D$18, 0)),
   ISNUMBER(MATCH(NonQM!$U$22, $J$3:$J$5, 0)),
   ISNUMBER(MATCH(NonQM!$U$21, $G$9, 0)),
   NonQM!$U$13 = $C$4
), NA(), "")</f>
        <v/>
      </c>
      <c r="AA112" s="162" t="s">
        <v>504</v>
      </c>
      <c r="AB112"/>
      <c r="AC112"/>
      <c r="AD112"/>
      <c r="AE112"/>
      <c r="AF112"/>
      <c r="AG112"/>
      <c r="AH112"/>
      <c r="AI112"/>
      <c r="AJ112"/>
      <c r="AK112"/>
      <c r="AL112"/>
      <c r="AM112"/>
      <c r="AN112"/>
    </row>
    <row r="113" spans="2:40" x14ac:dyDescent="0.25">
      <c r="B113" s="217">
        <f>NonQM!B42</f>
        <v>9.875</v>
      </c>
      <c r="C113" s="218">
        <f>NonQM!C42</f>
        <v>107.35950000000001</v>
      </c>
      <c r="D113" s="218">
        <f>NonQM!D42</f>
        <v>107.05950000000001</v>
      </c>
      <c r="E113" s="219"/>
      <c r="F113" s="219"/>
      <c r="H113" s="213">
        <v>32</v>
      </c>
      <c r="I113" s="220">
        <f t="shared" si="0"/>
        <v>9.875</v>
      </c>
      <c r="J113" s="221" t="e">
        <f t="shared" si="1"/>
        <v>#N/A</v>
      </c>
      <c r="K113" s="221" t="e">
        <f t="shared" si="2"/>
        <v>#N/A</v>
      </c>
      <c r="L113" s="222"/>
      <c r="M113" s="222"/>
      <c r="N113" s="212">
        <v>9.875</v>
      </c>
      <c r="Y113" s="162" t="s">
        <v>273</v>
      </c>
      <c r="Z113" s="224" t="str">
        <f>IF(AND(
   ISNUMBER(MATCH(NonQM!$U$12, $A$3:$A$7, 0)),
   ISNUMBER(MATCH(NonQM!$U$11, $B$7:$B$11, 0)),
   ISNUMBER(MATCH(NonQM!$U$15, $D$18, 0)),
   ISNUMBER(MATCH(NonQM!$U$22, $J$6:$J$7, 0)),
   ISNUMBER(MATCH(NonQM!$U$21, $G$9, 0)),
   NonQM!$U$13 = $C$4
), NA(), "")</f>
        <v/>
      </c>
      <c r="AA113" s="162" t="s">
        <v>512</v>
      </c>
      <c r="AB113"/>
      <c r="AC113"/>
      <c r="AD113"/>
      <c r="AE113"/>
      <c r="AF113"/>
      <c r="AG113"/>
      <c r="AH113"/>
      <c r="AI113"/>
      <c r="AJ113"/>
      <c r="AK113"/>
      <c r="AL113"/>
      <c r="AM113"/>
      <c r="AN113"/>
    </row>
    <row r="114" spans="2:40" x14ac:dyDescent="0.25">
      <c r="B114" s="217">
        <f>NonQM!B43</f>
        <v>9.9990000000000006</v>
      </c>
      <c r="C114" s="218">
        <f>NonQM!C43</f>
        <v>107.48450000000001</v>
      </c>
      <c r="D114" s="218">
        <f>NonQM!D43</f>
        <v>107.18450000000001</v>
      </c>
      <c r="E114" s="219"/>
      <c r="F114" s="219"/>
      <c r="H114" s="213">
        <v>33</v>
      </c>
      <c r="I114" s="220">
        <f t="shared" si="0"/>
        <v>9.9990000000000006</v>
      </c>
      <c r="J114" s="221" t="e">
        <f t="shared" si="1"/>
        <v>#N/A</v>
      </c>
      <c r="K114" s="221" t="e">
        <f t="shared" si="2"/>
        <v>#N/A</v>
      </c>
      <c r="L114" s="222"/>
      <c r="M114" s="222"/>
      <c r="N114" s="212">
        <v>9.9990000000000006</v>
      </c>
      <c r="Y114" s="162" t="s">
        <v>273</v>
      </c>
      <c r="Z114" s="224" t="str">
        <f>IF(AND(
   ISNUMBER(MATCH(NonQM!$U$12, $A$8, 0)),
   ISNUMBER(MATCH(NonQM!$U$11, $B$7:$B$11, 0)),
   ISNUMBER(MATCH(NonQM!$U$15, $D$18, 0)),
   ISNUMBER(MATCH(NonQM!$U$22, $J$3:$J$5, 0)),
   ISNUMBER(MATCH(NonQM!$U$21, $G$9, 0)),
   NonQM!$U$13 = $C$4
), NA(), "")</f>
        <v/>
      </c>
      <c r="AA114" s="162" t="s">
        <v>521</v>
      </c>
      <c r="AB114"/>
      <c r="AC114"/>
      <c r="AD114"/>
      <c r="AE114"/>
      <c r="AF114"/>
      <c r="AG114"/>
      <c r="AH114"/>
      <c r="AI114"/>
      <c r="AJ114"/>
      <c r="AK114"/>
      <c r="AL114"/>
      <c r="AM114"/>
      <c r="AN114"/>
    </row>
    <row r="115" spans="2:40" x14ac:dyDescent="0.25">
      <c r="B115" s="217">
        <f>NonQM!B44</f>
        <v>10.125</v>
      </c>
      <c r="C115" s="218">
        <f>NonQM!C44</f>
        <v>107.60950000000001</v>
      </c>
      <c r="D115" s="218">
        <f>NonQM!D44</f>
        <v>107.30950000000001</v>
      </c>
      <c r="E115" s="219"/>
      <c r="F115" s="219"/>
      <c r="H115" s="213">
        <v>34</v>
      </c>
      <c r="I115" s="220">
        <f t="shared" si="0"/>
        <v>10.125</v>
      </c>
      <c r="J115" s="221" t="e">
        <f t="shared" si="1"/>
        <v>#N/A</v>
      </c>
      <c r="K115" s="221" t="e">
        <f t="shared" si="2"/>
        <v>#N/A</v>
      </c>
      <c r="L115" s="222"/>
      <c r="M115" s="222"/>
      <c r="N115" s="212">
        <v>10.125</v>
      </c>
      <c r="Y115" s="162" t="s">
        <v>273</v>
      </c>
      <c r="Z115" s="224" t="str">
        <f>IF(AND(
   ISNUMBER(MATCH(NonQM!$U$12, $A$8, 0)),
   ISNUMBER(MATCH(NonQM!$U$11, $B$6:$B$11, 0)),
   ISNUMBER(MATCH(NonQM!$U$15, $D$18, 0)),
   ISNUMBER(MATCH(NonQM!$U$22, $J$6:$J$7, 0)),
   ISNUMBER(MATCH(NonQM!$U$21, $G$9, 0)),
   NonQM!$U$13 = $C$4
), NA(), "")</f>
        <v/>
      </c>
      <c r="AA115" s="162" t="s">
        <v>529</v>
      </c>
      <c r="AB115"/>
      <c r="AC115"/>
      <c r="AD115"/>
      <c r="AE115"/>
      <c r="AF115"/>
      <c r="AG115"/>
      <c r="AH115"/>
      <c r="AI115"/>
      <c r="AJ115"/>
      <c r="AK115"/>
      <c r="AL115"/>
      <c r="AM115"/>
      <c r="AN115"/>
    </row>
    <row r="116" spans="2:40" x14ac:dyDescent="0.25">
      <c r="B116" s="217">
        <f>NonQM!B45</f>
        <v>10.25</v>
      </c>
      <c r="C116" s="218">
        <f>NonQM!C45</f>
        <v>107.73450000000001</v>
      </c>
      <c r="D116" s="218">
        <f>NonQM!D45</f>
        <v>107.43450000000001</v>
      </c>
      <c r="E116" s="219"/>
      <c r="F116" s="219"/>
      <c r="H116" s="213">
        <v>35</v>
      </c>
      <c r="I116" s="220">
        <f t="shared" si="0"/>
        <v>10.25</v>
      </c>
      <c r="J116" s="221" t="e">
        <f t="shared" si="1"/>
        <v>#N/A</v>
      </c>
      <c r="K116" s="221" t="e">
        <f t="shared" si="2"/>
        <v>#N/A</v>
      </c>
      <c r="L116" s="222"/>
      <c r="M116" s="222"/>
      <c r="N116" s="212">
        <v>10.25</v>
      </c>
      <c r="Y116" s="162" t="s">
        <v>273</v>
      </c>
      <c r="Z116" s="224" t="str">
        <f>IF(AND(
   ISNUMBER(MATCH(NonQM!$U$12, $A$3:$A$6, 0)),
   ISNUMBER(MATCH(NonQM!$U$11, $B$7:$B$11, 0)),
   ISNUMBER(MATCH(NonQM!$U$15, $D$18, 0)),
   ISNUMBER(MATCH(NonQM!$U$22, $J$3:$J$5, 0)),
   ISNUMBER(MATCH(NonQM!$U$21, $G$10, 0)),
   NonQM!$U$13 = $C$4
), NA(), "")</f>
        <v/>
      </c>
      <c r="AA116" s="162" t="s">
        <v>538</v>
      </c>
      <c r="AB116"/>
      <c r="AC116"/>
      <c r="AD116"/>
      <c r="AE116"/>
      <c r="AF116"/>
      <c r="AG116"/>
      <c r="AH116"/>
      <c r="AI116"/>
      <c r="AJ116"/>
      <c r="AK116"/>
      <c r="AL116"/>
      <c r="AM116"/>
      <c r="AN116"/>
    </row>
    <row r="117" spans="2:40" x14ac:dyDescent="0.25">
      <c r="B117" s="217">
        <f>NonQM!B46</f>
        <v>10.375</v>
      </c>
      <c r="C117" s="218">
        <f>NonQM!C46</f>
        <v>107.85950000000001</v>
      </c>
      <c r="D117" s="218">
        <f>NonQM!D46</f>
        <v>107.55950000000001</v>
      </c>
      <c r="E117" s="219"/>
      <c r="F117" s="219"/>
      <c r="H117" s="213">
        <v>36</v>
      </c>
      <c r="I117" s="220">
        <f t="shared" si="0"/>
        <v>10.375</v>
      </c>
      <c r="J117" s="221" t="e">
        <f t="shared" si="1"/>
        <v>#N/A</v>
      </c>
      <c r="K117" s="221" t="e">
        <f t="shared" si="2"/>
        <v>#N/A</v>
      </c>
      <c r="L117" s="222"/>
      <c r="M117" s="222"/>
      <c r="N117" s="212">
        <v>10.375</v>
      </c>
      <c r="Y117" s="162" t="s">
        <v>273</v>
      </c>
      <c r="Z117" s="224" t="str">
        <f>IF(AND(
   ISNUMBER(MATCH(NonQM!$U$12, $A$3:$A$6, 0)),
   ISNUMBER(MATCH(NonQM!$U$11, $B$6:$B$11, 0)),
   ISNUMBER(MATCH(NonQM!$U$15, $D$18, 0)),
   ISNUMBER(MATCH(NonQM!$U$22, $J$6:$J$7, 0)),
   ISNUMBER(MATCH(NonQM!$U$21, $G$10, 0)),
   NonQM!$U$13 = $C$4
), NA(), "")</f>
        <v/>
      </c>
      <c r="AA117" s="162" t="s">
        <v>546</v>
      </c>
      <c r="AB117"/>
      <c r="AC117"/>
      <c r="AD117"/>
      <c r="AE117"/>
      <c r="AF117"/>
      <c r="AG117"/>
      <c r="AH117"/>
      <c r="AI117"/>
      <c r="AJ117"/>
      <c r="AK117"/>
      <c r="AL117"/>
      <c r="AM117"/>
      <c r="AN117"/>
    </row>
    <row r="118" spans="2:40" x14ac:dyDescent="0.25">
      <c r="B118" s="217">
        <f>NonQM!B47</f>
        <v>10.499000000000001</v>
      </c>
      <c r="C118" s="218">
        <f>NonQM!C47</f>
        <v>107.98450000000001</v>
      </c>
      <c r="D118" s="218">
        <f>NonQM!D47</f>
        <v>107.68450000000001</v>
      </c>
      <c r="E118" s="219"/>
      <c r="F118" s="219"/>
      <c r="H118" s="213">
        <v>37</v>
      </c>
      <c r="I118" s="220">
        <f t="shared" si="0"/>
        <v>10.499000000000001</v>
      </c>
      <c r="J118" s="221" t="e">
        <f t="shared" si="1"/>
        <v>#N/A</v>
      </c>
      <c r="K118" s="221" t="e">
        <f t="shared" si="2"/>
        <v>#N/A</v>
      </c>
      <c r="L118" s="222"/>
      <c r="M118" s="222"/>
      <c r="N118" s="212">
        <v>10.499000000000001</v>
      </c>
      <c r="Y118" s="162" t="s">
        <v>273</v>
      </c>
      <c r="Z118" s="224" t="str">
        <f>IF(AND(
   ISNUMBER(MATCH(NonQM!$U$12, $A$7, 0)),
   ISNUMBER(MATCH(NonQM!$U$11, $B$6:$B$11, 0)),
   ISNUMBER(MATCH(NonQM!$U$15, $D$18, 0)),
   ISNUMBER(MATCH(NonQM!$U$22, $J$3:$J$5, 0)),
   ISNUMBER(MATCH(NonQM!$U$21, $G$10, 0)),
   NonQM!$U$13 = $C$4
), NA(), "")</f>
        <v/>
      </c>
      <c r="AA118" s="162" t="s">
        <v>554</v>
      </c>
      <c r="AB118"/>
      <c r="AC118"/>
      <c r="AD118"/>
      <c r="AE118"/>
      <c r="AF118"/>
      <c r="AG118"/>
      <c r="AH118"/>
      <c r="AI118"/>
      <c r="AJ118"/>
      <c r="AK118"/>
      <c r="AL118"/>
      <c r="AM118"/>
      <c r="AN118"/>
    </row>
    <row r="119" spans="2:40" x14ac:dyDescent="0.25">
      <c r="B119" s="217">
        <f>NonQM!B48</f>
        <v>10.625</v>
      </c>
      <c r="C119" s="218">
        <f>NonQM!C48</f>
        <v>108.10950000000001</v>
      </c>
      <c r="D119" s="218">
        <f>NonQM!D48</f>
        <v>107.80950000000001</v>
      </c>
      <c r="E119" s="219"/>
      <c r="F119" s="219"/>
      <c r="H119" s="213">
        <v>38</v>
      </c>
      <c r="I119" s="220">
        <f t="shared" si="0"/>
        <v>10.625</v>
      </c>
      <c r="J119" s="221" t="e">
        <f t="shared" si="1"/>
        <v>#N/A</v>
      </c>
      <c r="K119" s="221" t="e">
        <f t="shared" si="2"/>
        <v>#N/A</v>
      </c>
      <c r="L119" s="222"/>
      <c r="M119" s="222"/>
      <c r="N119" s="212">
        <v>10.625</v>
      </c>
      <c r="P119" s="399"/>
      <c r="Y119" s="162" t="s">
        <v>273</v>
      </c>
      <c r="Z119" s="224" t="str">
        <f>IF(AND(
   ISNUMBER(MATCH(NonQM!$U$12, $A$7, 0)),
   ISNUMBER(MATCH(NonQM!$U$11, $B$5:$B$11, 0)),
   ISNUMBER(MATCH(NonQM!$U$15, $D$18, 0)),
   ISNUMBER(MATCH(NonQM!$U$22, $J$6:$J$7, 0)),
   ISNUMBER(MATCH(NonQM!$U$21, $G$10, 0)),
   NonQM!$U$13 = $C$4
), NA(), "")</f>
        <v/>
      </c>
      <c r="AA119" s="162" t="s">
        <v>562</v>
      </c>
      <c r="AB119"/>
      <c r="AC119"/>
      <c r="AD119"/>
      <c r="AE119"/>
      <c r="AF119"/>
      <c r="AG119"/>
      <c r="AH119"/>
      <c r="AI119"/>
      <c r="AJ119"/>
      <c r="AK119"/>
      <c r="AL119"/>
      <c r="AM119"/>
      <c r="AN119"/>
    </row>
    <row r="120" spans="2:40" x14ac:dyDescent="0.25">
      <c r="B120" s="217">
        <f>NonQM!B49</f>
        <v>0</v>
      </c>
      <c r="C120" s="218">
        <f>NonQM!C49</f>
        <v>0</v>
      </c>
      <c r="D120" s="218">
        <f>NonQM!D49</f>
        <v>0</v>
      </c>
      <c r="E120" s="219"/>
      <c r="F120" s="219"/>
      <c r="H120" s="213">
        <v>39</v>
      </c>
      <c r="I120" s="220">
        <f t="shared" si="0"/>
        <v>0</v>
      </c>
      <c r="J120" s="221" t="e">
        <f t="shared" si="1"/>
        <v>#N/A</v>
      </c>
      <c r="K120" s="221" t="e">
        <f t="shared" si="2"/>
        <v>#N/A</v>
      </c>
      <c r="L120" s="222"/>
      <c r="M120" s="222"/>
      <c r="N120" s="212">
        <v>0</v>
      </c>
      <c r="Y120" s="162" t="s">
        <v>273</v>
      </c>
      <c r="Z120" s="224" t="str">
        <f>IF(AND(
   ISNUMBER(MATCH(NonQM!$U$12, $A$8, 0)),
   ISNUMBER(MATCH(NonQM!$U$11, $B$5:$B$11, 0)),
   ISNUMBER(MATCH(NonQM!$U$15, $D$18, 0)),
   ISNUMBER(MATCH(NonQM!$U$22, $J$3:$J$5, 0)),
   ISNUMBER(MATCH(NonQM!$U$21, $G$10, 0)),
   NonQM!$U$13 = $C$4
), NA(), "")</f>
        <v/>
      </c>
      <c r="AA120" s="162" t="s">
        <v>572</v>
      </c>
      <c r="AB120"/>
      <c r="AC120"/>
      <c r="AD120"/>
      <c r="AE120"/>
      <c r="AF120"/>
      <c r="AG120"/>
      <c r="AH120"/>
      <c r="AI120"/>
      <c r="AJ120"/>
      <c r="AK120"/>
      <c r="AL120"/>
      <c r="AM120"/>
      <c r="AN120"/>
    </row>
    <row r="121" spans="2:40" x14ac:dyDescent="0.25">
      <c r="B121" s="217">
        <f>NonQM!B50</f>
        <v>0</v>
      </c>
      <c r="C121" s="218">
        <f>NonQM!C50</f>
        <v>0</v>
      </c>
      <c r="D121" s="218">
        <f>NonQM!D50</f>
        <v>0</v>
      </c>
      <c r="E121" s="219"/>
      <c r="F121" s="219"/>
      <c r="H121" s="213">
        <v>40</v>
      </c>
      <c r="I121" s="220">
        <f t="shared" si="0"/>
        <v>0</v>
      </c>
      <c r="J121" s="221" t="e">
        <f t="shared" si="1"/>
        <v>#N/A</v>
      </c>
      <c r="K121" s="221" t="e">
        <f t="shared" si="2"/>
        <v>#N/A</v>
      </c>
      <c r="L121" s="222"/>
      <c r="M121" s="222"/>
      <c r="N121" s="212">
        <v>0</v>
      </c>
      <c r="Y121" s="162" t="s">
        <v>273</v>
      </c>
      <c r="Z121" s="224" t="str">
        <f>IF(AND(
   ISNUMBER(MATCH(NonQM!$U$12, $A$8, 0)),
   ISNUMBER(MATCH(NonQM!$U$11, $B$4:$B$11, 0)),
   ISNUMBER(MATCH(NonQM!$U$15, $D$18, 0)),
   ISNUMBER(MATCH(NonQM!$U$22, $J$6:$J$7, 0)),
   ISNUMBER(MATCH(NonQM!$U$21, $G$10, 0)),
   NonQM!$U$13 = $C$4
), NA(), "")</f>
        <v/>
      </c>
      <c r="AA121" s="162" t="s">
        <v>581</v>
      </c>
      <c r="AB121"/>
      <c r="AC121"/>
      <c r="AD121"/>
      <c r="AE121"/>
      <c r="AF121"/>
      <c r="AG121"/>
      <c r="AH121"/>
      <c r="AI121"/>
      <c r="AJ121"/>
      <c r="AK121"/>
      <c r="AL121"/>
      <c r="AM121"/>
      <c r="AN121"/>
    </row>
    <row r="122" spans="2:40" ht="45" x14ac:dyDescent="0.25">
      <c r="B122" s="217"/>
      <c r="C122" s="218"/>
      <c r="D122" s="218"/>
      <c r="E122" s="219"/>
      <c r="F122" s="219"/>
      <c r="H122" s="213">
        <v>41</v>
      </c>
      <c r="I122" s="220">
        <f t="shared" si="0"/>
        <v>0</v>
      </c>
      <c r="J122" s="221" t="e">
        <f t="shared" si="1"/>
        <v>#N/A</v>
      </c>
      <c r="K122" s="221" t="e">
        <f t="shared" si="2"/>
        <v>#N/A</v>
      </c>
      <c r="L122" s="222"/>
      <c r="M122" s="222"/>
      <c r="N122" s="212">
        <v>0</v>
      </c>
      <c r="Y122" s="162" t="s">
        <v>273</v>
      </c>
      <c r="Z122" s="224" t="str">
        <f>IF(AND(
   ISNUMBER(MATCH(NonQM!$U$12, $A$9, 0)),
   ISNUMBER(MATCH(NonQM!$U$11, $B$3:$B$11, 0)),
   ISNUMBER(MATCH(NonQM!$U$15, $D$18, 0)),
   ISNUMBER(MATCH(NonQM!$U$22, $J$3:$J$5, 0)),
   ISNUMBER(MATCH(NonQM!$U$21, $G$10, 0)),
   NonQM!$U$13 = $C$4
), NA(), "")</f>
        <v/>
      </c>
      <c r="AA122" s="199" t="s">
        <v>589</v>
      </c>
      <c r="AB122"/>
      <c r="AC122"/>
      <c r="AD122"/>
      <c r="AE122"/>
      <c r="AF122"/>
      <c r="AG122"/>
      <c r="AH122"/>
      <c r="AI122"/>
      <c r="AJ122"/>
      <c r="AK122"/>
      <c r="AL122"/>
      <c r="AM122"/>
      <c r="AN122"/>
    </row>
    <row r="123" spans="2:40" x14ac:dyDescent="0.25">
      <c r="B123" s="217"/>
      <c r="C123" s="218"/>
      <c r="D123" s="218"/>
      <c r="E123" s="219"/>
      <c r="F123" s="219"/>
      <c r="H123" s="213">
        <v>42</v>
      </c>
      <c r="I123" s="220">
        <f t="shared" si="0"/>
        <v>0</v>
      </c>
      <c r="J123" s="221" t="e">
        <f t="shared" si="1"/>
        <v>#N/A</v>
      </c>
      <c r="K123" s="221" t="e">
        <f t="shared" si="2"/>
        <v>#N/A</v>
      </c>
      <c r="L123" s="222"/>
      <c r="M123" s="222"/>
      <c r="N123" s="212">
        <v>0</v>
      </c>
      <c r="P123" s="500"/>
      <c r="Y123" s="162" t="s">
        <v>273</v>
      </c>
      <c r="Z123" s="224" t="str">
        <f>IF(AND(
   ISNUMBER(MATCH(NonQM!$U$12, $A$9, 0)),
   ISNUMBER(MATCH(NonQM!$U$11, $B$3:$B$11, 0)),
   ISNUMBER(MATCH(NonQM!$U$15, $D$18, 0)),
   ISNUMBER(MATCH(NonQM!$U$22, $J$6:$J$7, 0)),
   ISNUMBER(MATCH(NonQM!$U$21, $G$10, 0)),
   NonQM!$U$13 = $C$4
), NA(), "")</f>
        <v/>
      </c>
      <c r="AA123" s="162" t="s">
        <v>598</v>
      </c>
      <c r="AB123"/>
      <c r="AC123"/>
      <c r="AD123"/>
      <c r="AE123"/>
      <c r="AF123"/>
      <c r="AG123"/>
      <c r="AH123"/>
      <c r="AI123"/>
      <c r="AJ123"/>
      <c r="AK123"/>
      <c r="AL123"/>
      <c r="AM123"/>
      <c r="AN123"/>
    </row>
    <row r="124" spans="2:40" x14ac:dyDescent="0.25">
      <c r="B124" s="217"/>
      <c r="C124" s="218"/>
      <c r="D124" s="218"/>
      <c r="E124" s="219"/>
      <c r="F124" s="219"/>
      <c r="H124" s="213">
        <v>43</v>
      </c>
      <c r="I124" s="220">
        <f t="shared" si="0"/>
        <v>0</v>
      </c>
      <c r="J124" s="221" t="e">
        <f t="shared" si="1"/>
        <v>#N/A</v>
      </c>
      <c r="K124" s="221" t="e">
        <f t="shared" si="2"/>
        <v>#N/A</v>
      </c>
      <c r="L124" s="222"/>
      <c r="M124" s="222"/>
      <c r="N124" s="162">
        <v>0</v>
      </c>
      <c r="O124" s="499"/>
      <c r="P124" s="499"/>
      <c r="Z124" s="224" t="str">
        <f>IF(AND(
   ISNUMBER(MATCH(DSCR!$S$15, $D$18:$D$19, 0)),
   ISNUMBER(MATCH(DSCR!$S$13, $C$5:$C$8))), NA(), "")</f>
        <v/>
      </c>
      <c r="AA124"/>
      <c r="AB124"/>
      <c r="AC124"/>
      <c r="AD124"/>
      <c r="AE124"/>
      <c r="AF124"/>
      <c r="AG124"/>
      <c r="AH124"/>
      <c r="AI124"/>
      <c r="AJ124"/>
      <c r="AK124"/>
      <c r="AL124"/>
      <c r="AM124"/>
      <c r="AN124"/>
    </row>
    <row r="125" spans="2:40" ht="15.75" thickBot="1" x14ac:dyDescent="0.3">
      <c r="H125" s="162">
        <v>44</v>
      </c>
      <c r="M125"/>
      <c r="O125" s="499"/>
      <c r="P125" s="499"/>
      <c r="AA125"/>
      <c r="AB125"/>
      <c r="AC125"/>
      <c r="AD125"/>
      <c r="AE125"/>
      <c r="AF125"/>
      <c r="AG125"/>
      <c r="AH125"/>
      <c r="AI125"/>
      <c r="AJ125"/>
      <c r="AK125"/>
      <c r="AL125"/>
      <c r="AM125"/>
      <c r="AN125"/>
    </row>
    <row r="126" spans="2:40" x14ac:dyDescent="0.25">
      <c r="G126" s="162" t="s">
        <v>634</v>
      </c>
      <c r="J126" s="229" t="e" cm="1">
        <f t="array" aca="1" ref="J126" ca="1">IF(IFERROR(INDEX(OFFSET(J82:J121,0,-1),MATCH(TRUE,($J$82:$J$121)&gt;=IF(E147&gt;100,100,E147),0)),MAX(I82:I121))&lt;E152,INDEX(H82:H121,MATCH(E152,I82:I121,0)),IFERROR(INDEX(OFFSET(J82:J121,0,-2),MATCH(TRUE,($J$82:$J$121)&gt;=IF(E147&gt;100,100,E147),0)),INDEX(OFFSET($J$82:$J$121,0,-2),MATCH(MAX($J$82:$J$121),$J$82:$J$121,0))))</f>
        <v>#N/A</v>
      </c>
      <c r="K126" s="230" t="e" cm="1">
        <f t="array" aca="1" ref="K126" ca="1">IF(IFERROR(INDEX(OFFSET(K82:K121,0,-2),MATCH(TRUE,($K$82:$K$121)&gt;=IF(E147&gt;100,100,E147),0)),MAX(I82:I121))&lt;E152,INDEX(H82:H121,MATCH(E152,I82:I121,0)),IFERROR(INDEX(OFFSET(K82:K121,0,-3),MATCH(TRUE,($K$82:$K$121)&gt;=IF(E147&gt;100,100,E147),0)),INDEX(OFFSET($K$82:$K$121,0,-3),MATCH(MAX($K$82:$K$121),$K$82:$K$121,0))))</f>
        <v>#N/A</v>
      </c>
      <c r="L126" s="231"/>
      <c r="M126" s="231"/>
      <c r="O126" s="499"/>
      <c r="P126" s="499"/>
      <c r="Q126"/>
      <c r="AA126"/>
      <c r="AB126"/>
      <c r="AC126"/>
      <c r="AD126"/>
      <c r="AE126"/>
      <c r="AF126"/>
      <c r="AG126"/>
      <c r="AH126"/>
      <c r="AI126"/>
      <c r="AJ126"/>
      <c r="AK126"/>
      <c r="AL126"/>
      <c r="AM126"/>
      <c r="AN126"/>
    </row>
    <row r="127" spans="2:40" x14ac:dyDescent="0.25">
      <c r="I127" s="162" t="s">
        <v>635</v>
      </c>
      <c r="J127" s="232" t="e">
        <f ca="1">VLOOKUP(J126,H82:I125,2,FALSE)</f>
        <v>#N/A</v>
      </c>
      <c r="K127" s="233" t="e">
        <f ca="1">VLOOKUP(K126,H82:I125,2,FALSE)</f>
        <v>#N/A</v>
      </c>
      <c r="L127" s="234"/>
      <c r="M127" s="234"/>
      <c r="O127" s="499"/>
      <c r="P127" s="499"/>
      <c r="AA127"/>
      <c r="AB127"/>
      <c r="AC127"/>
      <c r="AD127"/>
      <c r="AE127"/>
      <c r="AF127"/>
      <c r="AG127"/>
      <c r="AH127"/>
      <c r="AI127"/>
      <c r="AJ127"/>
      <c r="AK127"/>
      <c r="AL127"/>
      <c r="AM127"/>
      <c r="AN127"/>
    </row>
    <row r="128" spans="2:40" ht="15.75" thickBot="1" x14ac:dyDescent="0.3">
      <c r="B128"/>
      <c r="C128"/>
      <c r="D128"/>
      <c r="E128"/>
      <c r="F128"/>
      <c r="J128" s="235">
        <f>IF(G89=J81,J127,0)</f>
        <v>0</v>
      </c>
      <c r="K128" s="236">
        <f>IF(G89=K81,K127,0)</f>
        <v>0</v>
      </c>
      <c r="L128" s="237"/>
      <c r="M128" s="237"/>
      <c r="N128"/>
      <c r="O128" s="499"/>
      <c r="P128" s="499"/>
      <c r="AA128"/>
      <c r="AB128"/>
      <c r="AC128"/>
      <c r="AD128"/>
      <c r="AE128"/>
      <c r="AF128"/>
      <c r="AG128"/>
      <c r="AH128"/>
      <c r="AI128"/>
      <c r="AJ128"/>
      <c r="AK128"/>
      <c r="AL128"/>
      <c r="AM128"/>
      <c r="AN128"/>
    </row>
    <row r="129" spans="1:40" x14ac:dyDescent="0.25">
      <c r="B129" s="852" t="str">
        <f>NonQM!S55</f>
        <v>Max Price</v>
      </c>
      <c r="C129" s="853"/>
      <c r="D129" s="854"/>
      <c r="E129" s="238" t="s">
        <v>636</v>
      </c>
      <c r="F129"/>
      <c r="J129" s="232" t="e">
        <f ca="1">VLOOKUP(J126,H82:J125,3,FALSE)</f>
        <v>#N/A</v>
      </c>
      <c r="K129" s="233" t="e">
        <f ca="1">VLOOKUP(K126,H82:K125,4,FALSE)</f>
        <v>#N/A</v>
      </c>
      <c r="L129" s="239"/>
      <c r="M129" s="239"/>
      <c r="N129"/>
      <c r="O129" s="499"/>
      <c r="P129" s="499"/>
      <c r="AA129"/>
      <c r="AB129"/>
      <c r="AC129"/>
      <c r="AD129"/>
      <c r="AE129"/>
      <c r="AF129"/>
      <c r="AG129"/>
      <c r="AH129"/>
      <c r="AI129"/>
      <c r="AJ129"/>
      <c r="AK129"/>
      <c r="AL129"/>
      <c r="AM129"/>
      <c r="AN129"/>
    </row>
    <row r="130" spans="1:40" ht="15.75" thickBot="1" x14ac:dyDescent="0.3">
      <c r="B130" s="841" t="str">
        <f>NonQM!S56</f>
        <v>Owner/2nd Home</v>
      </c>
      <c r="C130" s="842"/>
      <c r="D130" s="506">
        <f>NonQM!T56</f>
        <v>102</v>
      </c>
      <c r="E130" s="493" t="str" cm="1">
        <f t="array" ref="E130">IF(OR(NonQM!U23=L3:L4),D130,"")</f>
        <v/>
      </c>
      <c r="F130"/>
      <c r="J130" s="243">
        <f>IF(G89=J81,J129,0)</f>
        <v>0</v>
      </c>
      <c r="K130" s="244">
        <f>IF(G89=K81,K129,0)</f>
        <v>0</v>
      </c>
      <c r="L130" s="245"/>
      <c r="M130" s="246"/>
      <c r="N130" s="212">
        <f>SUM(J128:M128)</f>
        <v>0</v>
      </c>
      <c r="O130" s="499"/>
      <c r="P130" s="499"/>
      <c r="AA130"/>
      <c r="AB130"/>
      <c r="AC130"/>
      <c r="AD130"/>
      <c r="AE130"/>
      <c r="AF130"/>
      <c r="AG130"/>
      <c r="AH130"/>
      <c r="AI130"/>
      <c r="AJ130"/>
      <c r="AK130"/>
      <c r="AL130"/>
      <c r="AM130"/>
      <c r="AN130"/>
    </row>
    <row r="131" spans="1:40" x14ac:dyDescent="0.25">
      <c r="B131" s="841" t="str">
        <f>NonQM!S57</f>
        <v>&gt;$2,500,000</v>
      </c>
      <c r="C131" s="842"/>
      <c r="D131" s="507">
        <f>NonQM!T57</f>
        <v>101</v>
      </c>
      <c r="E131" s="493" t="str" cm="1">
        <f t="array" ref="E131">IF(OR(NonQM!U21=G10:G13),D131,"")</f>
        <v/>
      </c>
      <c r="F131"/>
      <c r="AA131"/>
      <c r="AB131"/>
      <c r="AC131"/>
      <c r="AD131"/>
      <c r="AE131"/>
      <c r="AF131"/>
      <c r="AG131"/>
      <c r="AH131"/>
      <c r="AI131"/>
      <c r="AJ131"/>
      <c r="AK131"/>
      <c r="AL131"/>
      <c r="AM131"/>
      <c r="AN131"/>
    </row>
    <row r="132" spans="1:40" x14ac:dyDescent="0.25">
      <c r="B132" s="841" t="str">
        <f>NonQM!S58</f>
        <v>80.01-90.00% LTV</v>
      </c>
      <c r="C132" s="842"/>
      <c r="D132" s="507">
        <f>NonQM!T58</f>
        <v>101</v>
      </c>
      <c r="E132" s="493" t="str" cm="1">
        <f t="array" ref="E132">IF(OR(NonQM!U11=B10:B11),D132,"")</f>
        <v/>
      </c>
      <c r="F132"/>
      <c r="N132" s="212">
        <f>SUM(J130:M130)</f>
        <v>0</v>
      </c>
      <c r="AA132"/>
      <c r="AB132"/>
      <c r="AC132"/>
      <c r="AD132"/>
      <c r="AE132"/>
      <c r="AF132"/>
      <c r="AG132"/>
      <c r="AH132"/>
      <c r="AI132"/>
      <c r="AJ132"/>
      <c r="AK132"/>
      <c r="AL132"/>
      <c r="AM132"/>
      <c r="AN132"/>
    </row>
    <row r="133" spans="1:40" ht="15.75" thickBot="1" x14ac:dyDescent="0.3">
      <c r="B133" s="841" t="str">
        <f>NonQM!S59</f>
        <v>ITIN/Foreign National</v>
      </c>
      <c r="C133" s="842"/>
      <c r="D133" s="507">
        <f>NonQM!T59</f>
        <v>100.5</v>
      </c>
      <c r="E133" s="493" t="str" cm="1">
        <f t="array" ref="E133">IF(OR(NonQM!U19=P6:P7),D133,"")</f>
        <v/>
      </c>
      <c r="F133"/>
      <c r="G133"/>
      <c r="H133"/>
      <c r="I133"/>
      <c r="J133"/>
      <c r="K133"/>
      <c r="L133"/>
      <c r="M133"/>
      <c r="AA133"/>
      <c r="AB133"/>
      <c r="AC133"/>
      <c r="AD133"/>
      <c r="AE133"/>
      <c r="AF133"/>
      <c r="AG133"/>
      <c r="AH133"/>
      <c r="AI133"/>
      <c r="AJ133"/>
      <c r="AK133"/>
      <c r="AL133"/>
      <c r="AM133"/>
      <c r="AN133"/>
    </row>
    <row r="134" spans="1:40" x14ac:dyDescent="0.25">
      <c r="B134" s="841" t="str">
        <f>NonQM!S60</f>
        <v>Subord Financing</v>
      </c>
      <c r="C134" s="842"/>
      <c r="D134" s="507">
        <f>NonQM!T60</f>
        <v>100</v>
      </c>
      <c r="E134" s="493" t="str">
        <f>IF(OR(NonQM!U32=S4),D134,"")</f>
        <v/>
      </c>
      <c r="F134"/>
      <c r="G134"/>
      <c r="H134"/>
      <c r="I134" s="845" t="s">
        <v>637</v>
      </c>
      <c r="J134" s="846"/>
      <c r="K134" s="247">
        <f>IF(L134="","",N130)</f>
        <v>0</v>
      </c>
      <c r="L134" s="248">
        <f>IF(N132&gt;E147,E147,N132)</f>
        <v>0</v>
      </c>
      <c r="M134"/>
      <c r="X134"/>
      <c r="Y134"/>
      <c r="Z134"/>
      <c r="AA134"/>
      <c r="AB134"/>
      <c r="AC134"/>
      <c r="AD134"/>
      <c r="AE134"/>
      <c r="AF134"/>
      <c r="AG134"/>
      <c r="AH134"/>
      <c r="AI134"/>
      <c r="AJ134"/>
      <c r="AK134"/>
    </row>
    <row r="135" spans="1:40" ht="15.75" thickBot="1" x14ac:dyDescent="0.3">
      <c r="B135" s="841" t="str">
        <f>NonQM!S61</f>
        <v>No PPP</v>
      </c>
      <c r="C135" s="842"/>
      <c r="D135" s="507">
        <f>NonQM!T61</f>
        <v>100</v>
      </c>
      <c r="E135" s="493" t="str">
        <f>IF(AND(ISNUMBER(MATCH(NonQM!U23,L5:L6,0)),OR(ISNUMBER(MATCH(NonQM!U27,H3:H4,0)),)),D135,"")</f>
        <v/>
      </c>
      <c r="F135"/>
      <c r="G135"/>
      <c r="H135"/>
      <c r="I135" s="850"/>
      <c r="J135" s="851"/>
      <c r="K135" s="249"/>
      <c r="L135" s="250"/>
      <c r="M135"/>
      <c r="X135"/>
      <c r="Y135"/>
      <c r="Z135"/>
      <c r="AA135"/>
      <c r="AB135"/>
      <c r="AC135"/>
      <c r="AD135"/>
      <c r="AE135"/>
      <c r="AF135"/>
      <c r="AG135"/>
      <c r="AH135"/>
      <c r="AI135"/>
      <c r="AJ135"/>
      <c r="AK135"/>
    </row>
    <row r="136" spans="1:40" x14ac:dyDescent="0.25">
      <c r="A136" s="162" t="s">
        <v>638</v>
      </c>
      <c r="B136" s="841" t="str">
        <f>NonQM!S62</f>
        <v>12 Months PPP</v>
      </c>
      <c r="C136" s="842"/>
      <c r="D136" s="507">
        <f>NonQM!T62</f>
        <v>101.5</v>
      </c>
      <c r="E136" s="493" t="str">
        <f>IF(AND(ISNUMBER(MATCH(NonQM!U23,L5:L6,0)),OR(ISNUMBER(MATCH(NonQM!U27,H5,0)),ISNUMBER(MATCH(NonQM!U27,H10,0)))),D136,"")</f>
        <v/>
      </c>
      <c r="F136"/>
      <c r="G136"/>
      <c r="H136"/>
      <c r="I136" s="251"/>
      <c r="J136" s="251"/>
      <c r="K136" s="252"/>
      <c r="L136" s="252"/>
      <c r="M136"/>
      <c r="X136"/>
      <c r="Y136"/>
      <c r="Z136"/>
      <c r="AA136"/>
      <c r="AB136"/>
      <c r="AC136"/>
      <c r="AD136"/>
      <c r="AE136"/>
      <c r="AF136"/>
      <c r="AG136"/>
      <c r="AH136"/>
      <c r="AI136"/>
      <c r="AJ136"/>
      <c r="AK136"/>
    </row>
    <row r="137" spans="1:40" x14ac:dyDescent="0.25">
      <c r="A137" s="162" t="s">
        <v>638</v>
      </c>
      <c r="B137" s="841" t="str">
        <f>NonQM!S63</f>
        <v>24 Months PPP</v>
      </c>
      <c r="C137" s="842"/>
      <c r="D137" s="506">
        <f>NonQM!T63</f>
        <v>102</v>
      </c>
      <c r="E137" s="493" t="str">
        <f>IF(AND(ISNUMBER(MATCH(NonQM!U23,L5:L6,0)),OR(ISNUMBER(MATCH(NonQM!U27,H6,0)),ISNUMBER(MATCH(NonQM!U27,H11,0)))),D137,"")</f>
        <v/>
      </c>
      <c r="F137"/>
      <c r="G137"/>
      <c r="H137"/>
      <c r="I137"/>
      <c r="J137"/>
      <c r="K137"/>
      <c r="L137"/>
      <c r="M137"/>
      <c r="X137"/>
      <c r="Y137"/>
      <c r="Z137"/>
      <c r="AA137"/>
      <c r="AB137"/>
      <c r="AC137"/>
      <c r="AD137"/>
      <c r="AE137"/>
      <c r="AF137"/>
      <c r="AG137"/>
      <c r="AH137"/>
      <c r="AI137"/>
      <c r="AJ137"/>
      <c r="AK137"/>
    </row>
    <row r="138" spans="1:40" x14ac:dyDescent="0.25">
      <c r="A138" s="162" t="s">
        <v>177</v>
      </c>
      <c r="B138" s="841" t="str">
        <f>NonQM!S64</f>
        <v>36-60 Months PPP</v>
      </c>
      <c r="C138" s="842"/>
      <c r="D138" s="506">
        <f>NonQM!T64</f>
        <v>102.5</v>
      </c>
      <c r="E138" s="493" t="str">
        <f>IF(AND(ISNUMBER(MATCH(NonQM!U23,L5:L7,0)),OR(ISNUMBER(MATCH(NonQM!U27,H7:H9,0)),ISNUMBER(MATCH(NonQM!U27,H12:H14,0)))),D138, "")</f>
        <v/>
      </c>
      <c r="F138"/>
      <c r="G138"/>
      <c r="H138"/>
      <c r="I138"/>
      <c r="J138"/>
      <c r="K138"/>
      <c r="L138"/>
      <c r="M138"/>
      <c r="X138"/>
      <c r="Y138"/>
      <c r="Z138"/>
      <c r="AA138"/>
      <c r="AB138"/>
      <c r="AC138"/>
      <c r="AD138"/>
      <c r="AE138"/>
      <c r="AF138"/>
      <c r="AG138"/>
      <c r="AH138"/>
      <c r="AI138"/>
      <c r="AJ138"/>
      <c r="AK138"/>
    </row>
    <row r="139" spans="1:40" x14ac:dyDescent="0.25">
      <c r="A139" s="162" t="s">
        <v>638</v>
      </c>
      <c r="B139" s="841" t="str">
        <f>NonQM!S57</f>
        <v>&gt;$2,500,000</v>
      </c>
      <c r="C139" s="842"/>
      <c r="D139" s="506">
        <f>NonQM!T57</f>
        <v>101</v>
      </c>
      <c r="E139" s="493" t="str" cm="1">
        <f t="array" ref="E139">IF(OR(NonQM!U21=G10:G13),D139,"")</f>
        <v/>
      </c>
      <c r="F139"/>
      <c r="G139"/>
      <c r="H139"/>
      <c r="I139"/>
      <c r="J139"/>
      <c r="K139"/>
      <c r="L139"/>
      <c r="M139"/>
      <c r="X139"/>
      <c r="Y139"/>
      <c r="Z139"/>
      <c r="AA139"/>
      <c r="AB139"/>
      <c r="AC139"/>
      <c r="AD139"/>
      <c r="AE139"/>
      <c r="AF139"/>
      <c r="AG139"/>
      <c r="AH139"/>
      <c r="AI139"/>
      <c r="AJ139"/>
      <c r="AK139"/>
    </row>
    <row r="140" spans="1:40" x14ac:dyDescent="0.25">
      <c r="A140" s="162" t="s">
        <v>177</v>
      </c>
      <c r="B140" s="841"/>
      <c r="C140" s="842"/>
      <c r="D140" s="506"/>
      <c r="E140" s="493"/>
      <c r="F140"/>
      <c r="G140"/>
      <c r="H140"/>
      <c r="I140"/>
      <c r="J140"/>
      <c r="K140"/>
      <c r="L140"/>
      <c r="M140"/>
    </row>
    <row r="141" spans="1:40" x14ac:dyDescent="0.25">
      <c r="B141" s="841"/>
      <c r="C141" s="842"/>
      <c r="D141" s="506"/>
      <c r="E141" s="493"/>
      <c r="F141"/>
      <c r="G141"/>
      <c r="H141"/>
      <c r="I141"/>
      <c r="J141"/>
      <c r="K141"/>
      <c r="L141"/>
      <c r="M141"/>
    </row>
    <row r="142" spans="1:40" x14ac:dyDescent="0.25">
      <c r="A142" s="162" t="s">
        <v>177</v>
      </c>
      <c r="B142" s="843"/>
      <c r="C142" s="844"/>
      <c r="D142" s="506"/>
      <c r="E142" s="494"/>
      <c r="F142"/>
      <c r="G142"/>
      <c r="H142"/>
      <c r="I142"/>
      <c r="J142"/>
      <c r="K142"/>
      <c r="L142"/>
      <c r="M142"/>
    </row>
    <row r="143" spans="1:40" x14ac:dyDescent="0.25">
      <c r="B143" s="843" t="str">
        <f>NonQM!S66</f>
        <v>NC Floor Price</v>
      </c>
      <c r="C143" s="844"/>
      <c r="D143" s="506">
        <f>NonQM!T66</f>
        <v>99.75</v>
      </c>
      <c r="E143" s="494" t="str" cm="1">
        <f t="array" ref="E143">IF(AND(NonQM!S29=T16,OR(NonQM!S23=L5:L6),NonQM!S27=H3),D143,"")</f>
        <v/>
      </c>
      <c r="F143"/>
      <c r="G143"/>
      <c r="H143"/>
      <c r="I143"/>
      <c r="J143"/>
      <c r="K143"/>
      <c r="L143"/>
      <c r="M143"/>
    </row>
    <row r="144" spans="1:40" x14ac:dyDescent="0.25">
      <c r="B144" s="841"/>
      <c r="C144" s="842"/>
      <c r="D144" s="508"/>
      <c r="E144" s="242"/>
      <c r="F144"/>
      <c r="G144"/>
      <c r="H144"/>
      <c r="I144"/>
      <c r="J144"/>
      <c r="K144"/>
      <c r="L144"/>
      <c r="M144"/>
    </row>
    <row r="145" spans="2:23" x14ac:dyDescent="0.25">
      <c r="B145" s="240"/>
      <c r="C145" s="241"/>
      <c r="D145" s="508"/>
      <c r="E145" s="242"/>
      <c r="F145"/>
      <c r="G145"/>
      <c r="H145"/>
      <c r="I145"/>
      <c r="J145"/>
      <c r="K145"/>
      <c r="L145"/>
      <c r="M145"/>
    </row>
    <row r="146" spans="2:23" ht="15.75" thickBot="1" x14ac:dyDescent="0.3">
      <c r="B146" s="509"/>
      <c r="C146" s="510"/>
      <c r="D146" s="511"/>
      <c r="E146" s="561"/>
      <c r="F146"/>
      <c r="G146"/>
      <c r="H146"/>
      <c r="I146"/>
      <c r="J146"/>
      <c r="K146"/>
      <c r="L146"/>
      <c r="M146"/>
    </row>
    <row r="147" spans="2:23" ht="15.75" thickBot="1" x14ac:dyDescent="0.3">
      <c r="D147" s="172" t="s">
        <v>639</v>
      </c>
      <c r="E147" s="253">
        <f>IF(E146&lt;&gt;"",E146,IF(E144&lt;&gt;"",E144,MIN(E130:E143)))</f>
        <v>0</v>
      </c>
      <c r="F147"/>
      <c r="G147"/>
      <c r="H147"/>
      <c r="I147"/>
      <c r="J147"/>
      <c r="K147"/>
      <c r="L147"/>
      <c r="M147"/>
    </row>
    <row r="148" spans="2:23" ht="15.75" thickBot="1" x14ac:dyDescent="0.3">
      <c r="F148"/>
      <c r="G148"/>
      <c r="H148"/>
      <c r="I148"/>
      <c r="J148"/>
      <c r="K148"/>
      <c r="L148"/>
      <c r="M148"/>
    </row>
    <row r="149" spans="2:23" x14ac:dyDescent="0.25">
      <c r="B149" s="254" t="s">
        <v>140</v>
      </c>
      <c r="C149" s="255"/>
      <c r="D149" s="256"/>
      <c r="E149" s="238" t="s">
        <v>636</v>
      </c>
      <c r="F149"/>
      <c r="G149"/>
      <c r="H149"/>
      <c r="I149"/>
      <c r="J149"/>
      <c r="K149"/>
      <c r="L149"/>
      <c r="M149"/>
    </row>
    <row r="150" spans="2:23" ht="15.75" thickBot="1" x14ac:dyDescent="0.3">
      <c r="B150" s="257" t="str">
        <f>NonQM!S68</f>
        <v>&gt;$2,500,000</v>
      </c>
      <c r="C150" s="258"/>
      <c r="D150" s="593">
        <f>NonQM!T68</f>
        <v>6.625</v>
      </c>
      <c r="E150" s="242" t="str" cm="1">
        <f t="array" ref="E150">IF(OR(NonQM!U21=G10:G13),D150,"")</f>
        <v/>
      </c>
      <c r="F150"/>
      <c r="G150"/>
      <c r="H150"/>
      <c r="I150"/>
      <c r="J150"/>
      <c r="K150"/>
      <c r="L150"/>
      <c r="M150"/>
    </row>
    <row r="151" spans="2:23" ht="15.75" thickBot="1" x14ac:dyDescent="0.3">
      <c r="B151" s="257" t="str">
        <f>NonQM!S69</f>
        <v>ITIN/Foreign National</v>
      </c>
      <c r="C151" s="258"/>
      <c r="D151" s="593">
        <f>NonQM!T69</f>
        <v>7.375</v>
      </c>
      <c r="E151" s="242" t="str" cm="1">
        <f t="array" ref="E151">IF(OR(NonQM!U19=P6:P7),D151,"")</f>
        <v/>
      </c>
      <c r="F151"/>
      <c r="G151"/>
      <c r="H151"/>
      <c r="I151"/>
      <c r="J151"/>
      <c r="K151"/>
      <c r="L151"/>
      <c r="M151"/>
    </row>
    <row r="152" spans="2:23" ht="15.75" thickBot="1" x14ac:dyDescent="0.3">
      <c r="D152" s="172" t="s">
        <v>639</v>
      </c>
      <c r="E152" s="253">
        <f>MIN(E150:E151)</f>
        <v>0</v>
      </c>
      <c r="F152"/>
      <c r="G152"/>
      <c r="H152"/>
      <c r="I152"/>
      <c r="J152"/>
      <c r="K152"/>
      <c r="L152"/>
      <c r="M152"/>
    </row>
    <row r="153" spans="2:23" x14ac:dyDescent="0.25">
      <c r="F153"/>
      <c r="G153"/>
      <c r="H153"/>
      <c r="I153"/>
      <c r="J153"/>
      <c r="K153"/>
      <c r="L153"/>
      <c r="M153"/>
    </row>
    <row r="154" spans="2:23" x14ac:dyDescent="0.25">
      <c r="B154"/>
      <c r="C154"/>
      <c r="D154"/>
      <c r="E154"/>
      <c r="F154"/>
      <c r="G154"/>
      <c r="H154"/>
      <c r="I154"/>
      <c r="J154"/>
      <c r="K154"/>
      <c r="L154"/>
      <c r="M154"/>
    </row>
    <row r="155" spans="2:23" x14ac:dyDescent="0.25">
      <c r="B155"/>
      <c r="C155"/>
      <c r="D155"/>
      <c r="E155"/>
      <c r="F155"/>
      <c r="G155"/>
      <c r="H155"/>
      <c r="I155"/>
      <c r="J155"/>
      <c r="K155"/>
      <c r="L155"/>
      <c r="M155"/>
    </row>
    <row r="156" spans="2:23" x14ac:dyDescent="0.25">
      <c r="B156"/>
      <c r="C156"/>
      <c r="D156"/>
      <c r="E156"/>
      <c r="F156"/>
      <c r="G156"/>
      <c r="H156"/>
      <c r="I156"/>
      <c r="J156"/>
      <c r="K156"/>
      <c r="L156"/>
      <c r="M156"/>
    </row>
    <row r="157" spans="2:23" x14ac:dyDescent="0.25">
      <c r="B157"/>
      <c r="C157"/>
      <c r="D157"/>
      <c r="E157"/>
      <c r="F157"/>
      <c r="G157"/>
      <c r="H157"/>
      <c r="I157"/>
      <c r="J157"/>
      <c r="K157"/>
      <c r="L157"/>
      <c r="M157"/>
    </row>
    <row r="158" spans="2:23" ht="15.75" thickBot="1" x14ac:dyDescent="0.3">
      <c r="B158"/>
      <c r="C158"/>
      <c r="D158"/>
      <c r="E158"/>
      <c r="F158"/>
      <c r="G158"/>
      <c r="H158"/>
      <c r="I158"/>
      <c r="J158"/>
      <c r="K158"/>
      <c r="L158"/>
      <c r="M158"/>
    </row>
    <row r="159" spans="2:23" ht="15.75" thickBot="1" x14ac:dyDescent="0.3">
      <c r="B159"/>
      <c r="C159"/>
      <c r="D159"/>
      <c r="E159" s="611"/>
      <c r="F159" s="613" t="s">
        <v>929</v>
      </c>
      <c r="G159"/>
      <c r="H159"/>
      <c r="I159"/>
      <c r="J159"/>
      <c r="K159"/>
      <c r="L159"/>
      <c r="M159"/>
      <c r="T159" s="473" t="s">
        <v>767</v>
      </c>
    </row>
    <row r="160" spans="2:23" x14ac:dyDescent="0.25">
      <c r="B160"/>
      <c r="C160"/>
      <c r="D160"/>
      <c r="E160"/>
      <c r="F160"/>
      <c r="G160"/>
      <c r="H160"/>
      <c r="I160"/>
      <c r="J160"/>
      <c r="K160"/>
      <c r="L160"/>
      <c r="M160"/>
      <c r="T160" s="473" t="s">
        <v>32</v>
      </c>
      <c r="U160" s="473" t="s">
        <v>767</v>
      </c>
      <c r="V160" s="474"/>
      <c r="W160" s="475"/>
    </row>
    <row r="161" spans="2:23" ht="35.25" customHeight="1" x14ac:dyDescent="0.25">
      <c r="B161" s="793" t="s">
        <v>12</v>
      </c>
      <c r="C161" s="794"/>
      <c r="D161" s="25" t="s">
        <v>13</v>
      </c>
      <c r="E161" s="25" t="s">
        <v>14</v>
      </c>
      <c r="F161" s="25" t="s">
        <v>15</v>
      </c>
      <c r="G161" s="25" t="s">
        <v>16</v>
      </c>
      <c r="H161" s="25" t="s">
        <v>17</v>
      </c>
      <c r="I161" s="25" t="s">
        <v>18</v>
      </c>
      <c r="J161" s="25" t="s">
        <v>19</v>
      </c>
      <c r="K161" s="25" t="s">
        <v>20</v>
      </c>
      <c r="L161" s="24" t="s">
        <v>21</v>
      </c>
      <c r="M161"/>
      <c r="O161" s="189" t="s">
        <v>640</v>
      </c>
      <c r="T161" s="478" t="s">
        <v>768</v>
      </c>
      <c r="U161" s="478" t="s">
        <v>768</v>
      </c>
      <c r="V161" s="476" t="s">
        <v>779</v>
      </c>
      <c r="W161" s="477">
        <v>0</v>
      </c>
    </row>
    <row r="162" spans="2:23" ht="27" x14ac:dyDescent="0.25">
      <c r="B162" s="635" t="s">
        <v>96</v>
      </c>
      <c r="C162" s="636"/>
      <c r="D162" s="636"/>
      <c r="E162" s="636"/>
      <c r="F162" s="636"/>
      <c r="G162" s="636"/>
      <c r="H162" s="636"/>
      <c r="I162" s="636"/>
      <c r="J162" s="636"/>
      <c r="K162" s="636"/>
      <c r="L162" s="637"/>
      <c r="M162"/>
      <c r="N162" s="172" t="s">
        <v>32</v>
      </c>
      <c r="O162" s="382" t="s">
        <v>53</v>
      </c>
      <c r="P162" s="383" t="s">
        <v>51</v>
      </c>
      <c r="Q162" s="383" t="s">
        <v>641</v>
      </c>
      <c r="R162" s="383" t="s">
        <v>642</v>
      </c>
      <c r="T162" s="478" t="s">
        <v>769</v>
      </c>
      <c r="U162" s="478" t="s">
        <v>769</v>
      </c>
      <c r="V162" s="476" t="s">
        <v>780</v>
      </c>
      <c r="W162" s="477">
        <v>0.15</v>
      </c>
    </row>
    <row r="163" spans="2:23" ht="27" x14ac:dyDescent="0.25">
      <c r="B163" s="378" t="s">
        <v>214</v>
      </c>
      <c r="C163" s="379"/>
      <c r="D163" s="44">
        <v>0</v>
      </c>
      <c r="E163" s="44">
        <v>0</v>
      </c>
      <c r="F163" s="44">
        <v>0</v>
      </c>
      <c r="G163" s="44">
        <v>0</v>
      </c>
      <c r="H163" s="44">
        <v>0</v>
      </c>
      <c r="I163" s="44">
        <v>0</v>
      </c>
      <c r="J163" s="44">
        <v>0</v>
      </c>
      <c r="K163" s="44">
        <v>0</v>
      </c>
      <c r="L163" s="45">
        <v>0</v>
      </c>
      <c r="M163"/>
      <c r="N163" s="162" t="s">
        <v>136</v>
      </c>
      <c r="O163" s="380">
        <f>IF(OR($O$164="", $O$165="", $O$165="Choose a Selection"),0,
   INDEX($D$163:$L$218,
         MATCH($O$165,$B$163:$B$218,0),
         MATCH($O$164,$D$161:$L$161,0)))</f>
        <v>0</v>
      </c>
      <c r="P163" s="380">
        <f>IF(OR($P$164="", $P$165="", $P$165="Choose a Selection"),0,
   INDEX($D$163:$L$218,
         MATCH($P$165,$B$163:$B$218,0),
         MATCH($P$164,$D$161:$L$161,0)))</f>
        <v>0</v>
      </c>
      <c r="Q163" s="380">
        <f>IF(OR($Q$164="", $Q$165="",$Q$165="Choose a Selection"),0,
   INDEX($D$163:$L$218,
         MATCH($Q$165,$B$163:$B$218,0),
         MATCH($Q$164,$D$161:$L$161,0)))</f>
        <v>0</v>
      </c>
      <c r="R163" s="380">
        <f>IF(OR($R$164="", $R$165="",$R$165="Choose a Selection"),0,
   INDEX($D$163:$L$218,
         MATCH($R$165,$B$163:$B$218,0),
         MATCH($R$164,$D$161:$L$161,0)))</f>
        <v>0</v>
      </c>
      <c r="T163" s="478" t="s">
        <v>770</v>
      </c>
      <c r="U163" s="478" t="s">
        <v>770</v>
      </c>
      <c r="V163" s="476" t="s">
        <v>781</v>
      </c>
      <c r="W163" s="477">
        <v>0.25</v>
      </c>
    </row>
    <row r="164" spans="2:23" x14ac:dyDescent="0.25">
      <c r="B164" s="378" t="s">
        <v>239</v>
      </c>
      <c r="C164" s="379"/>
      <c r="D164" s="610">
        <f>NonQM!H51</f>
        <v>0</v>
      </c>
      <c r="E164" s="610">
        <f>NonQM!I51</f>
        <v>0</v>
      </c>
      <c r="F164" s="610">
        <f>NonQM!J51</f>
        <v>-0.125</v>
      </c>
      <c r="G164" s="610">
        <f>NonQM!K51</f>
        <v>-0.375</v>
      </c>
      <c r="H164" s="610">
        <f>NonQM!L51</f>
        <v>-0.375</v>
      </c>
      <c r="I164" s="610">
        <f>NonQM!M51</f>
        <v>-0.375</v>
      </c>
      <c r="J164" s="610">
        <f>NonQM!N51</f>
        <v>-0.375</v>
      </c>
      <c r="K164" s="610">
        <f>NonQM!O51</f>
        <v>-0.5</v>
      </c>
      <c r="L164" s="610" t="e">
        <f>NonQM!P51</f>
        <v>#N/A</v>
      </c>
      <c r="M164"/>
      <c r="N164" s="162" t="s">
        <v>54</v>
      </c>
      <c r="O164" s="381" t="str">
        <f>NonQM!$U$11</f>
        <v>Choose a Selection</v>
      </c>
      <c r="P164" s="381" t="str">
        <f>NonQM!$U$11</f>
        <v>Choose a Selection</v>
      </c>
      <c r="Q164" s="381" t="str">
        <f>NonQM!$U$11</f>
        <v>Choose a Selection</v>
      </c>
      <c r="R164" s="381" t="str">
        <f>NonQM!$U$11</f>
        <v>Choose a Selection</v>
      </c>
      <c r="U164"/>
      <c r="V164"/>
      <c r="W164"/>
    </row>
    <row r="165" spans="2:23" x14ac:dyDescent="0.25">
      <c r="B165" s="378" t="s">
        <v>98</v>
      </c>
      <c r="C165" s="379"/>
      <c r="D165" s="44">
        <v>-0.25</v>
      </c>
      <c r="E165" s="44">
        <v>-0.25</v>
      </c>
      <c r="F165" s="44">
        <v>-0.25</v>
      </c>
      <c r="G165" s="44">
        <v>-0.5</v>
      </c>
      <c r="H165" s="44">
        <v>-0.5</v>
      </c>
      <c r="I165" s="44">
        <v>-0.5</v>
      </c>
      <c r="J165" s="44">
        <v>-0.5</v>
      </c>
      <c r="K165" s="44">
        <v>-0.5</v>
      </c>
      <c r="L165" s="45" t="e">
        <v>#N/A</v>
      </c>
      <c r="M165"/>
      <c r="N165" s="162" t="s">
        <v>231</v>
      </c>
      <c r="O165" s="381" t="str">
        <f>NonQM!U25</f>
        <v>Choose a Selection</v>
      </c>
      <c r="P165" s="381" t="str">
        <f>NonQM!U24</f>
        <v>Choose a Selection</v>
      </c>
      <c r="Q165" s="381" t="str">
        <f>NonQM!U20</f>
        <v>Choose a Selection</v>
      </c>
      <c r="R165" s="381" t="str">
        <f>NonQM!U19</f>
        <v>Choose a Selection</v>
      </c>
      <c r="U165"/>
      <c r="V165"/>
      <c r="W165"/>
    </row>
    <row r="166" spans="2:23" x14ac:dyDescent="0.25">
      <c r="B166" s="378" t="s">
        <v>230</v>
      </c>
      <c r="C166" s="379"/>
      <c r="D166" s="44">
        <v>-0.375</v>
      </c>
      <c r="E166" s="44">
        <v>-0.5</v>
      </c>
      <c r="F166" s="44">
        <v>-0.5</v>
      </c>
      <c r="G166" s="44">
        <v>-0.75</v>
      </c>
      <c r="H166" s="44">
        <v>-0.75</v>
      </c>
      <c r="I166" s="44">
        <v>-0.75</v>
      </c>
      <c r="J166" s="44">
        <v>-0.75</v>
      </c>
      <c r="K166" s="44">
        <v>-1</v>
      </c>
      <c r="L166" s="45" t="e">
        <v>#N/A</v>
      </c>
      <c r="M166"/>
      <c r="N166" s="162" t="s">
        <v>240</v>
      </c>
      <c r="U166"/>
      <c r="V166"/>
      <c r="W166"/>
    </row>
    <row r="167" spans="2:23" x14ac:dyDescent="0.25">
      <c r="B167" s="378" t="s">
        <v>238</v>
      </c>
      <c r="C167" s="379"/>
      <c r="D167" s="44">
        <v>0</v>
      </c>
      <c r="E167" s="44">
        <v>0</v>
      </c>
      <c r="F167" s="44">
        <v>0</v>
      </c>
      <c r="G167" s="44">
        <v>0</v>
      </c>
      <c r="H167" s="44">
        <v>0</v>
      </c>
      <c r="I167" s="44">
        <v>0</v>
      </c>
      <c r="J167" s="44">
        <v>0</v>
      </c>
      <c r="K167" s="44">
        <v>0</v>
      </c>
      <c r="L167" s="45" t="e">
        <v>#N/A</v>
      </c>
      <c r="M167"/>
      <c r="N167" s="162" t="s">
        <v>141</v>
      </c>
      <c r="O167" s="383" t="s">
        <v>31</v>
      </c>
      <c r="P167" s="383" t="s">
        <v>50</v>
      </c>
      <c r="Q167" s="383" t="s">
        <v>56</v>
      </c>
      <c r="R167" s="383" t="s">
        <v>203</v>
      </c>
    </row>
    <row r="168" spans="2:23" x14ac:dyDescent="0.25">
      <c r="B168" s="378" t="s">
        <v>99</v>
      </c>
      <c r="C168" s="379"/>
      <c r="D168" s="44">
        <v>-1</v>
      </c>
      <c r="E168" s="44">
        <v>-1</v>
      </c>
      <c r="F168" s="44">
        <v>-1</v>
      </c>
      <c r="G168" s="44">
        <v>-1</v>
      </c>
      <c r="H168" s="44">
        <v>-1.25</v>
      </c>
      <c r="I168" s="44">
        <v>-1.5</v>
      </c>
      <c r="J168" s="44" t="e">
        <v>#N/A</v>
      </c>
      <c r="K168" s="44" t="e">
        <v>#N/A</v>
      </c>
      <c r="L168" s="45" t="e">
        <v>#N/A</v>
      </c>
      <c r="M168"/>
      <c r="N168" s="162" t="s">
        <v>143</v>
      </c>
      <c r="O168" s="385">
        <f>IF(OR($O$169="", $O$170="", $O$170="Choose a Selection"),0,
   INDEX($D$163:$L$218,
         MATCH($O$170,$B$163:$B$218,0),
         MATCH($O$169,$D$161:$L$161,0)))</f>
        <v>0</v>
      </c>
      <c r="P168" s="380">
        <f>IF(OR($P$169="", $P$170="", $P$170="Choose a Selection"),0,
   INDEX($D$163:$L$218,
         MATCH($P$170,$B$163:$B$218,0),
         MATCH($P$169,$D$161:$L$161,0)))</f>
        <v>0</v>
      </c>
      <c r="Q168" s="380">
        <f>IF(OR($Q$169="", $Q$170="", $Q$170="Choose a Selection"),0,
   INDEX($D$163:$L$218,
         MATCH($Q$170,$B$163:$B$218,0),
         MATCH($Q$169,$D$161:$L$161,0)))</f>
        <v>0</v>
      </c>
      <c r="R168" s="380" t="e">
        <f>IF(OR($R$169="", $R$170="", $R$170="Choose a Selection"),0,
   INDEX($D$163:$L$218,
         MATCH($R$170,$B$163:$B$218,0),
         MATCH($R$169,$D$161:$L$161,0)))</f>
        <v>#N/A</v>
      </c>
    </row>
    <row r="169" spans="2:23" x14ac:dyDescent="0.25">
      <c r="B169" s="378" t="s">
        <v>100</v>
      </c>
      <c r="C169" s="379"/>
      <c r="D169" s="44">
        <v>0</v>
      </c>
      <c r="E169" s="44">
        <v>0</v>
      </c>
      <c r="F169" s="44">
        <v>0</v>
      </c>
      <c r="G169" s="44">
        <v>0</v>
      </c>
      <c r="H169" s="44">
        <v>0</v>
      </c>
      <c r="I169" s="44">
        <v>0</v>
      </c>
      <c r="J169" s="44">
        <v>0</v>
      </c>
      <c r="K169" s="44">
        <v>0</v>
      </c>
      <c r="L169" s="45" t="e">
        <v>#N/A</v>
      </c>
      <c r="M169"/>
      <c r="N169" s="162" t="s">
        <v>250</v>
      </c>
      <c r="O169" s="381" t="str">
        <f>NonQM!$U$11</f>
        <v>Choose a Selection</v>
      </c>
      <c r="P169" s="386" t="str">
        <f>NonQM!$U$11</f>
        <v>Choose a Selection</v>
      </c>
      <c r="Q169" s="386" t="str">
        <f>NonQM!$U$11</f>
        <v>Choose a Selection</v>
      </c>
      <c r="R169" s="386" t="str">
        <f>NonQM!$U$11</f>
        <v>Choose a Selection</v>
      </c>
    </row>
    <row r="170" spans="2:23" x14ac:dyDescent="0.25">
      <c r="B170" s="378" t="s">
        <v>101</v>
      </c>
      <c r="C170" s="379"/>
      <c r="D170" s="44">
        <v>-0.125</v>
      </c>
      <c r="E170" s="44">
        <v>-0.125</v>
      </c>
      <c r="F170" s="44">
        <v>-0.25</v>
      </c>
      <c r="G170" s="44">
        <v>-0.25</v>
      </c>
      <c r="H170" s="44">
        <v>-0.25</v>
      </c>
      <c r="I170" s="44">
        <v>-0.5</v>
      </c>
      <c r="J170" s="44">
        <v>-0.625</v>
      </c>
      <c r="K170" s="44" t="e">
        <v>#N/A</v>
      </c>
      <c r="L170" s="45" t="e">
        <v>#N/A</v>
      </c>
      <c r="M170"/>
      <c r="N170" s="162" t="s">
        <v>145</v>
      </c>
      <c r="O170" s="385" t="str">
        <f>NonQM!U14</f>
        <v>Choose a Selection</v>
      </c>
      <c r="P170" s="380" t="str">
        <f>NonQM!U23</f>
        <v>Choose a Selection</v>
      </c>
      <c r="Q170" s="380" t="str">
        <f>NonQM!U26</f>
        <v>Choose a Selection</v>
      </c>
      <c r="R170" s="380" t="str">
        <f>NonQM!U30</f>
        <v>30 Day</v>
      </c>
    </row>
    <row r="171" spans="2:23" x14ac:dyDescent="0.25">
      <c r="B171" s="378" t="s">
        <v>249</v>
      </c>
      <c r="C171" s="379"/>
      <c r="D171" s="44">
        <v>0</v>
      </c>
      <c r="E171" s="44">
        <v>0</v>
      </c>
      <c r="F171" s="44">
        <v>0</v>
      </c>
      <c r="G171" s="44">
        <v>0</v>
      </c>
      <c r="H171" s="44">
        <v>0</v>
      </c>
      <c r="I171" s="44">
        <v>0</v>
      </c>
      <c r="J171" s="44">
        <v>0</v>
      </c>
      <c r="K171" s="44">
        <v>0</v>
      </c>
      <c r="L171" s="45">
        <v>0</v>
      </c>
      <c r="M171"/>
      <c r="N171" s="162" t="s">
        <v>148</v>
      </c>
    </row>
    <row r="172" spans="2:23" x14ac:dyDescent="0.25">
      <c r="B172" s="378" t="s">
        <v>213</v>
      </c>
      <c r="C172" s="379"/>
      <c r="D172" s="44">
        <v>0</v>
      </c>
      <c r="E172" s="44">
        <v>0</v>
      </c>
      <c r="F172" s="44">
        <v>0</v>
      </c>
      <c r="G172" s="44">
        <v>0</v>
      </c>
      <c r="H172" s="44">
        <v>0</v>
      </c>
      <c r="I172" s="44">
        <v>0</v>
      </c>
      <c r="J172" s="44">
        <v>0</v>
      </c>
      <c r="K172" s="44">
        <v>0</v>
      </c>
      <c r="L172" s="45">
        <v>0</v>
      </c>
      <c r="M172"/>
      <c r="N172" s="162" t="s">
        <v>253</v>
      </c>
      <c r="O172" s="498"/>
    </row>
    <row r="173" spans="2:23" ht="15.75" thickBot="1" x14ac:dyDescent="0.3">
      <c r="B173" s="378" t="s">
        <v>178</v>
      </c>
      <c r="C173" s="379"/>
      <c r="D173" s="44">
        <v>0</v>
      </c>
      <c r="E173" s="44">
        <v>0</v>
      </c>
      <c r="F173" s="44">
        <v>0</v>
      </c>
      <c r="G173" s="44">
        <v>0</v>
      </c>
      <c r="H173" s="44">
        <v>0</v>
      </c>
      <c r="I173" s="44">
        <v>0</v>
      </c>
      <c r="J173" s="44">
        <v>0</v>
      </c>
      <c r="K173" s="44">
        <v>0</v>
      </c>
      <c r="L173" s="45">
        <v>0</v>
      </c>
      <c r="M173"/>
      <c r="N173" s="162" t="s">
        <v>151</v>
      </c>
      <c r="O173" s="189" t="s">
        <v>177</v>
      </c>
    </row>
    <row r="174" spans="2:23" x14ac:dyDescent="0.25">
      <c r="B174" s="439" t="s">
        <v>144</v>
      </c>
      <c r="C174" s="440"/>
      <c r="D174" s="440"/>
      <c r="E174" s="440"/>
      <c r="F174" s="440"/>
      <c r="G174" s="440"/>
      <c r="H174" s="440"/>
      <c r="I174" s="440"/>
      <c r="J174" s="440"/>
      <c r="K174" s="440"/>
      <c r="L174" s="441"/>
      <c r="M174"/>
      <c r="N174" s="172" t="s">
        <v>212</v>
      </c>
      <c r="O174" s="382" t="s">
        <v>53</v>
      </c>
      <c r="P174" s="383" t="s">
        <v>51</v>
      </c>
      <c r="Q174" s="383" t="s">
        <v>641</v>
      </c>
      <c r="R174" s="383" t="s">
        <v>642</v>
      </c>
    </row>
    <row r="175" spans="2:23" x14ac:dyDescent="0.25">
      <c r="B175" s="376" t="s">
        <v>231</v>
      </c>
      <c r="C175" s="377"/>
      <c r="D175" s="44">
        <v>-0.25</v>
      </c>
      <c r="E175" s="44">
        <v>-0.25</v>
      </c>
      <c r="F175" s="44">
        <v>-0.5</v>
      </c>
      <c r="G175" s="44">
        <v>-0.5</v>
      </c>
      <c r="H175" s="44">
        <v>-0.5</v>
      </c>
      <c r="I175" s="44">
        <v>-0.5</v>
      </c>
      <c r="J175" s="44">
        <v>-0.5</v>
      </c>
      <c r="K175" s="44" t="e">
        <v>#N/A</v>
      </c>
      <c r="L175" s="45" t="e">
        <v>#N/A</v>
      </c>
      <c r="M175"/>
      <c r="N175" s="172" t="s">
        <v>222</v>
      </c>
      <c r="O175" s="380" t="e">
        <f>IF(OR($O$176="", $O$177="", $O$177="Choose a Selection"),0,
   INDEX($D$163:$L$218,
         MATCH($O$177,$B$163:$B$218,0),
         MATCH($O$176,$D$161:$L$161,0)))</f>
        <v>#N/A</v>
      </c>
      <c r="P175" s="380">
        <f>IF(OR($P$176="", $P$177="", $P$177="Choose a Selection"),0,
   INDEX($D$163:$L$218,
         MATCH($P$177,$B$163:$B$218,0),
         MATCH($P$176,$D$161:$L$161,0)))</f>
        <v>0</v>
      </c>
      <c r="Q175" s="380">
        <f>IF(OR($Q$176="", $Q$177="",$Q$177="Choose a Selection"),0,
   INDEX($D$163:$L$218,
         MATCH($Q$177,$B$163:$B$218,0),
         MATCH($Q$176,$D$161:$L$161,0)))</f>
        <v>0</v>
      </c>
      <c r="R175" s="380">
        <f>IF(OR($R$176="", $R$177="",$R$177="Choose a Selection"),0,
   INDEX($D$163:$L$218,
         MATCH($R$177,$B$163:$B$218,0),
         MATCH($R$176,$D$161:$L$161,0)))</f>
        <v>0</v>
      </c>
    </row>
    <row r="176" spans="2:23" x14ac:dyDescent="0.25">
      <c r="B176" s="376" t="s">
        <v>240</v>
      </c>
      <c r="C176" s="377"/>
      <c r="D176" s="44">
        <f>NonQM!H71+D181</f>
        <v>-1</v>
      </c>
      <c r="E176" s="44">
        <f>NonQM!I71+E181</f>
        <v>-1</v>
      </c>
      <c r="F176" s="44">
        <f>NonQM!J71+F181</f>
        <v>-1</v>
      </c>
      <c r="G176" s="44">
        <f>NonQM!K71+G181</f>
        <v>-1</v>
      </c>
      <c r="H176" s="44">
        <f>NonQM!L71+H181</f>
        <v>-1.25</v>
      </c>
      <c r="I176" s="44">
        <f>NonQM!M71+I181</f>
        <v>-1.25</v>
      </c>
      <c r="J176" s="44">
        <f>NonQM!N71+J181</f>
        <v>-1.25</v>
      </c>
      <c r="K176" s="44">
        <f>NonQM!O71+K181</f>
        <v>-1.5</v>
      </c>
      <c r="L176" s="45" t="e">
        <f>NonQM!P71+L181</f>
        <v>#N/A</v>
      </c>
      <c r="M176"/>
      <c r="N176" s="172" t="s">
        <v>229</v>
      </c>
      <c r="O176" s="381" t="str">
        <f>DSCR!$S$11</f>
        <v>Choose a Selection</v>
      </c>
      <c r="P176" s="381" t="str">
        <f>DSCR!$S$11</f>
        <v>Choose a Selection</v>
      </c>
      <c r="Q176" s="381" t="str">
        <f>DSCR!$S$11</f>
        <v>Choose a Selection</v>
      </c>
      <c r="R176" s="381" t="str">
        <f>DSCR!$S$11</f>
        <v>Choose a Selection</v>
      </c>
    </row>
    <row r="177" spans="2:18" x14ac:dyDescent="0.25">
      <c r="B177" s="376" t="s">
        <v>250</v>
      </c>
      <c r="C177" s="377"/>
      <c r="D177" s="44">
        <f>NonQM!H71</f>
        <v>-0.5</v>
      </c>
      <c r="E177" s="44">
        <f>NonQM!I71</f>
        <v>-0.5</v>
      </c>
      <c r="F177" s="44">
        <f>NonQM!J71</f>
        <v>-0.5</v>
      </c>
      <c r="G177" s="44">
        <f>NonQM!K71</f>
        <v>-0.5</v>
      </c>
      <c r="H177" s="44">
        <f>NonQM!L71</f>
        <v>-0.75</v>
      </c>
      <c r="I177" s="44">
        <f>NonQM!M71</f>
        <v>-0.75</v>
      </c>
      <c r="J177" s="44">
        <f>NonQM!N71</f>
        <v>-0.75</v>
      </c>
      <c r="K177" s="44">
        <f>NonQM!O71</f>
        <v>-1</v>
      </c>
      <c r="L177" s="45" t="e">
        <f>NonQM!P71</f>
        <v>#N/A</v>
      </c>
      <c r="M177"/>
      <c r="N177" s="162" t="s">
        <v>57</v>
      </c>
      <c r="O177" s="381" t="str">
        <f>DSCR!$S$25</f>
        <v>30YR Fixed</v>
      </c>
      <c r="P177" s="381" t="str">
        <f>DSCR!$S$24</f>
        <v>Choose a Selection</v>
      </c>
      <c r="Q177" s="381" t="str">
        <f>NonQM!U32</f>
        <v>Choose a Selection</v>
      </c>
      <c r="R177" s="381" t="str">
        <f>DSCR!$S$19</f>
        <v>Choose a Selection</v>
      </c>
    </row>
    <row r="178" spans="2:18" x14ac:dyDescent="0.25">
      <c r="B178" s="376" t="s">
        <v>253</v>
      </c>
      <c r="C178" s="377"/>
      <c r="D178" s="44">
        <f>NonQM!H71</f>
        <v>-0.5</v>
      </c>
      <c r="E178" s="44">
        <f>NonQM!I71</f>
        <v>-0.5</v>
      </c>
      <c r="F178" s="44">
        <f>NonQM!J71</f>
        <v>-0.5</v>
      </c>
      <c r="G178" s="44">
        <f>NonQM!K71</f>
        <v>-0.5</v>
      </c>
      <c r="H178" s="44">
        <f>NonQM!L71</f>
        <v>-0.75</v>
      </c>
      <c r="I178" s="44">
        <f>NonQM!M71</f>
        <v>-0.75</v>
      </c>
      <c r="J178" s="44">
        <f>NonQM!N71</f>
        <v>-0.75</v>
      </c>
      <c r="K178" s="44">
        <f>NonQM!O71</f>
        <v>-1</v>
      </c>
      <c r="L178" s="45" t="e">
        <f>NonQM!P71</f>
        <v>#N/A</v>
      </c>
      <c r="M178"/>
      <c r="N178" s="162" t="s">
        <v>152</v>
      </c>
    </row>
    <row r="179" spans="2:18" x14ac:dyDescent="0.25">
      <c r="B179" s="376" t="s">
        <v>136</v>
      </c>
      <c r="C179" s="377"/>
      <c r="D179" s="44">
        <v>0.25</v>
      </c>
      <c r="E179" s="44">
        <v>0.25</v>
      </c>
      <c r="F179" s="44">
        <v>0.25</v>
      </c>
      <c r="G179" s="44">
        <v>0.25</v>
      </c>
      <c r="H179" s="44">
        <v>0.25</v>
      </c>
      <c r="I179" s="44">
        <v>0.25</v>
      </c>
      <c r="J179" s="44">
        <v>0.25</v>
      </c>
      <c r="K179" s="44">
        <v>0.25</v>
      </c>
      <c r="L179" s="45">
        <v>0.25</v>
      </c>
      <c r="M179"/>
      <c r="N179" s="172" t="s">
        <v>158</v>
      </c>
      <c r="O179" s="383" t="s">
        <v>31</v>
      </c>
      <c r="P179" s="383" t="s">
        <v>50</v>
      </c>
      <c r="Q179" s="383" t="s">
        <v>56</v>
      </c>
      <c r="R179" s="383" t="s">
        <v>203</v>
      </c>
    </row>
    <row r="180" spans="2:18" x14ac:dyDescent="0.25">
      <c r="B180" s="376" t="s">
        <v>54</v>
      </c>
      <c r="C180" s="377"/>
      <c r="D180" s="44">
        <v>0</v>
      </c>
      <c r="E180" s="44">
        <v>0</v>
      </c>
      <c r="F180" s="44">
        <v>0</v>
      </c>
      <c r="G180" s="44">
        <v>0</v>
      </c>
      <c r="H180" s="44">
        <v>0</v>
      </c>
      <c r="I180" s="44">
        <v>0</v>
      </c>
      <c r="J180" s="44">
        <v>0</v>
      </c>
      <c r="K180" s="44">
        <v>0</v>
      </c>
      <c r="L180" s="45">
        <v>0</v>
      </c>
      <c r="M180"/>
      <c r="N180" s="172" t="s">
        <v>161</v>
      </c>
      <c r="O180" s="385">
        <f>IF(OR($O$181="", $O$182="", $O$182="Choose a Selection"),0,
   INDEX($D$163:$L$218,
         MATCH($O$182,$B$163:$B$218,0),
         MATCH($O$181,$D$161:$L$161,0)))</f>
        <v>0</v>
      </c>
      <c r="P180" s="380" t="e">
        <f>IF(OR($P$181="", $P$182="", $P$182="Choose a Selection"),0,
   INDEX($D$163:$L$218,
         MATCH($P$182,$B$163:$B$218,0),
         MATCH($P$181,$D$161:$L$161,0)))</f>
        <v>#N/A</v>
      </c>
      <c r="Q180" s="380">
        <f>IF(OR($Q$181="", $Q$182="", $Q$182="Choose a Selection"),0,
   INDEX($D$163:$L$218,
         MATCH($Q$182,$B$163:$B$218,0),
         MATCH($Q$181,$D$161:$L$161,0)))</f>
        <v>0</v>
      </c>
      <c r="R180" s="380" t="e">
        <f>IF(OR($R$181="", $R$182="", $R$182="Choose a Selection"),0,
   INDEX($D$163:$L$218,
         MATCH($R$182,$B$163:$B$218,0),
         MATCH($R$181,$D$161:$L$161,0)))</f>
        <v>#N/A</v>
      </c>
    </row>
    <row r="181" spans="2:18" x14ac:dyDescent="0.25">
      <c r="B181" s="376" t="s">
        <v>141</v>
      </c>
      <c r="C181" s="377"/>
      <c r="D181" s="44">
        <v>-0.5</v>
      </c>
      <c r="E181" s="44">
        <v>-0.5</v>
      </c>
      <c r="F181" s="44">
        <v>-0.5</v>
      </c>
      <c r="G181" s="44">
        <v>-0.5</v>
      </c>
      <c r="H181" s="44">
        <v>-0.5</v>
      </c>
      <c r="I181" s="44">
        <v>-0.5</v>
      </c>
      <c r="J181" s="44">
        <v>-0.5</v>
      </c>
      <c r="K181" s="44">
        <v>-0.5</v>
      </c>
      <c r="L181" s="45">
        <v>-0.5</v>
      </c>
      <c r="M181"/>
      <c r="N181" s="172" t="s">
        <v>223</v>
      </c>
      <c r="O181" s="381" t="str">
        <f>DSCR!$S$11</f>
        <v>Choose a Selection</v>
      </c>
      <c r="P181" s="386" t="str">
        <f>DSCR!$S$11</f>
        <v>Choose a Selection</v>
      </c>
      <c r="Q181" s="386" t="str">
        <f>DSCR!$S$11</f>
        <v>Choose a Selection</v>
      </c>
      <c r="R181" s="386" t="str">
        <f>DSCR!$S$11</f>
        <v>Choose a Selection</v>
      </c>
    </row>
    <row r="182" spans="2:18" x14ac:dyDescent="0.25">
      <c r="B182" s="376" t="s">
        <v>143</v>
      </c>
      <c r="C182" s="377"/>
      <c r="D182" s="44">
        <v>0.25</v>
      </c>
      <c r="E182" s="44">
        <v>0.25</v>
      </c>
      <c r="F182" s="44">
        <v>0.25</v>
      </c>
      <c r="G182" s="44">
        <v>0.25</v>
      </c>
      <c r="H182" s="44">
        <v>0.25</v>
      </c>
      <c r="I182" s="44">
        <v>0.25</v>
      </c>
      <c r="J182" s="44">
        <v>0.25</v>
      </c>
      <c r="K182" s="44">
        <v>0.25</v>
      </c>
      <c r="L182" s="44">
        <v>0.25</v>
      </c>
      <c r="N182" s="172" t="s">
        <v>232</v>
      </c>
      <c r="O182" s="385" t="str">
        <f>DSCR!S14</f>
        <v>Choose a Selection</v>
      </c>
      <c r="P182" s="380" t="str">
        <f>DSCR!$S$23</f>
        <v>Non-Owner (Alt Doc/DSCR)</v>
      </c>
      <c r="Q182" s="380" t="str">
        <f>DSCR!$S$26</f>
        <v>Choose a Selection</v>
      </c>
      <c r="R182" s="380" t="str">
        <f>DSCR!$S$30</f>
        <v>30 Day</v>
      </c>
    </row>
    <row r="183" spans="2:18" x14ac:dyDescent="0.25">
      <c r="B183" s="376" t="s">
        <v>145</v>
      </c>
      <c r="C183" s="377"/>
      <c r="D183" s="44">
        <v>-0.5</v>
      </c>
      <c r="E183" s="44">
        <v>-0.5</v>
      </c>
      <c r="F183" s="44">
        <v>-0.5</v>
      </c>
      <c r="G183" s="44">
        <v>-0.5</v>
      </c>
      <c r="H183" s="44">
        <v>-0.5</v>
      </c>
      <c r="I183" s="44">
        <v>-0.5</v>
      </c>
      <c r="J183" s="44">
        <v>-0.5</v>
      </c>
      <c r="K183" s="44">
        <v>-0.5</v>
      </c>
      <c r="L183" s="45">
        <v>-0.5</v>
      </c>
      <c r="N183" s="172" t="s">
        <v>213</v>
      </c>
    </row>
    <row r="184" spans="2:18" x14ac:dyDescent="0.25">
      <c r="B184" s="376" t="s">
        <v>148</v>
      </c>
      <c r="C184" s="377"/>
      <c r="D184" s="44">
        <v>0.25</v>
      </c>
      <c r="E184" s="44">
        <v>0.25</v>
      </c>
      <c r="F184" s="44">
        <v>0.25</v>
      </c>
      <c r="G184" s="44">
        <v>0.25</v>
      </c>
      <c r="H184" s="44">
        <v>0.25</v>
      </c>
      <c r="I184" s="44">
        <v>0.25</v>
      </c>
      <c r="J184" s="44">
        <v>0.25</v>
      </c>
      <c r="K184" s="44">
        <v>0.25</v>
      </c>
      <c r="L184" s="44">
        <v>0.25</v>
      </c>
      <c r="N184" s="172" t="s">
        <v>100</v>
      </c>
      <c r="O184" s="383" t="s">
        <v>644</v>
      </c>
    </row>
    <row r="185" spans="2:18" x14ac:dyDescent="0.25">
      <c r="B185" s="376" t="s">
        <v>151</v>
      </c>
      <c r="C185" s="377"/>
      <c r="D185" s="44">
        <v>-0.5</v>
      </c>
      <c r="E185" s="44">
        <v>-0.5</v>
      </c>
      <c r="F185" s="44">
        <v>-0.5</v>
      </c>
      <c r="G185" s="44">
        <v>-0.5</v>
      </c>
      <c r="H185" s="44">
        <v>-0.5</v>
      </c>
      <c r="I185" s="44">
        <v>-0.5</v>
      </c>
      <c r="J185" s="44">
        <v>-0.5</v>
      </c>
      <c r="K185" s="44">
        <v>-0.5</v>
      </c>
      <c r="L185" s="45">
        <v>-0.5</v>
      </c>
      <c r="N185" s="172" t="s">
        <v>101</v>
      </c>
      <c r="O185" s="385">
        <f>IF(OR($O$186="", $O$187="", $O$187="Choose a Selection"),0,
   INDEX($D$163:$L$218,
         MATCH($O$187,$B$163:$B$218,0),
         MATCH($O$186,$D$161:$L$161,0)))</f>
        <v>0</v>
      </c>
    </row>
    <row r="186" spans="2:18" x14ac:dyDescent="0.25">
      <c r="B186" s="376" t="s">
        <v>152</v>
      </c>
      <c r="C186" s="377"/>
      <c r="D186" s="610">
        <f>NonQM!H72</f>
        <v>0</v>
      </c>
      <c r="E186" s="610">
        <f>NonQM!I72</f>
        <v>0</v>
      </c>
      <c r="F186" s="610">
        <f>NonQM!J72</f>
        <v>0</v>
      </c>
      <c r="G186" s="610">
        <f>NonQM!K72</f>
        <v>0</v>
      </c>
      <c r="H186" s="610">
        <f>NonQM!L72</f>
        <v>0</v>
      </c>
      <c r="I186" s="610">
        <f>NonQM!M72</f>
        <v>0</v>
      </c>
      <c r="J186" s="610">
        <f>NonQM!N72</f>
        <v>0</v>
      </c>
      <c r="K186" s="610">
        <f>NonQM!O72</f>
        <v>-0.25</v>
      </c>
      <c r="L186" s="612">
        <f>NonQM!P72</f>
        <v>-0.5</v>
      </c>
      <c r="N186" s="172" t="s">
        <v>238</v>
      </c>
      <c r="O186" s="381" t="str">
        <f>DSCR!$S$11</f>
        <v>Choose a Selection</v>
      </c>
    </row>
    <row r="187" spans="2:18" x14ac:dyDescent="0.25">
      <c r="B187" s="376" t="s">
        <v>57</v>
      </c>
      <c r="C187" s="377"/>
      <c r="D187" s="44">
        <v>0</v>
      </c>
      <c r="E187" s="44">
        <v>0</v>
      </c>
      <c r="F187" s="44">
        <v>0</v>
      </c>
      <c r="G187" s="44">
        <v>0</v>
      </c>
      <c r="H187" s="44">
        <v>0</v>
      </c>
      <c r="I187" s="44">
        <v>0</v>
      </c>
      <c r="J187" s="44">
        <v>0</v>
      </c>
      <c r="K187" s="44">
        <v>0</v>
      </c>
      <c r="L187" s="45">
        <v>0</v>
      </c>
      <c r="N187" s="162" t="s">
        <v>243</v>
      </c>
      <c r="O187" s="385" t="str">
        <f>DSCR!S29</f>
        <v>Choose a Selection</v>
      </c>
    </row>
    <row r="188" spans="2:18" x14ac:dyDescent="0.25">
      <c r="B188" s="376" t="s">
        <v>212</v>
      </c>
      <c r="C188" s="377"/>
      <c r="D188" s="44">
        <v>0</v>
      </c>
      <c r="E188" s="44">
        <v>0</v>
      </c>
      <c r="F188" s="44">
        <v>0</v>
      </c>
      <c r="G188" s="44">
        <v>0</v>
      </c>
      <c r="H188" s="44">
        <v>0</v>
      </c>
      <c r="I188" s="44">
        <v>0</v>
      </c>
      <c r="J188" s="44">
        <v>0</v>
      </c>
      <c r="K188" s="44">
        <v>0</v>
      </c>
      <c r="L188" s="45">
        <v>0</v>
      </c>
      <c r="N188" s="172" t="s">
        <v>99</v>
      </c>
    </row>
    <row r="189" spans="2:18" x14ac:dyDescent="0.25">
      <c r="B189" s="376" t="s">
        <v>222</v>
      </c>
      <c r="C189" s="377"/>
      <c r="D189" s="44">
        <v>0</v>
      </c>
      <c r="E189" s="44">
        <v>0</v>
      </c>
      <c r="F189" s="44">
        <v>-0.125</v>
      </c>
      <c r="G189" s="44">
        <v>-0.25</v>
      </c>
      <c r="H189" s="44">
        <v>-0.25</v>
      </c>
      <c r="I189" s="44">
        <v>-0.25</v>
      </c>
      <c r="J189" s="44">
        <v>-0.25</v>
      </c>
      <c r="K189" s="44">
        <v>-0.5</v>
      </c>
      <c r="L189" s="45" t="e">
        <v>#N/A</v>
      </c>
      <c r="N189" s="172" t="s">
        <v>249</v>
      </c>
    </row>
    <row r="190" spans="2:18" x14ac:dyDescent="0.25">
      <c r="B190" s="376" t="s">
        <v>229</v>
      </c>
      <c r="C190" s="377"/>
      <c r="D190" s="44">
        <v>-0.25</v>
      </c>
      <c r="E190" s="44">
        <v>-0.25</v>
      </c>
      <c r="F190" s="44">
        <v>-0.25</v>
      </c>
      <c r="G190" s="44">
        <v>-0.375</v>
      </c>
      <c r="H190" s="44">
        <v>-0.5</v>
      </c>
      <c r="I190" s="44">
        <v>-0.625</v>
      </c>
      <c r="J190" s="44">
        <v>-1</v>
      </c>
      <c r="K190" s="44" t="e">
        <v>#N/A</v>
      </c>
      <c r="L190" s="45" t="e">
        <v>#N/A</v>
      </c>
      <c r="N190" s="162" t="s">
        <v>196</v>
      </c>
    </row>
    <row r="191" spans="2:18" x14ac:dyDescent="0.25">
      <c r="B191" s="376" t="s">
        <v>217</v>
      </c>
      <c r="C191" s="377"/>
      <c r="D191" s="44">
        <v>0</v>
      </c>
      <c r="E191" s="44">
        <v>0</v>
      </c>
      <c r="F191" s="44">
        <v>0</v>
      </c>
      <c r="G191" s="44">
        <v>0</v>
      </c>
      <c r="H191" s="44">
        <v>0</v>
      </c>
      <c r="I191" s="44">
        <v>0</v>
      </c>
      <c r="J191" s="44">
        <v>0</v>
      </c>
      <c r="K191" s="44">
        <v>0</v>
      </c>
      <c r="L191" s="45">
        <v>0</v>
      </c>
    </row>
    <row r="192" spans="2:18" x14ac:dyDescent="0.25">
      <c r="B192" s="376" t="s">
        <v>158</v>
      </c>
      <c r="C192" s="377"/>
      <c r="D192" s="610">
        <f>NonQM!H75</f>
        <v>-2</v>
      </c>
      <c r="E192" s="610">
        <f>NonQM!I75</f>
        <v>-2</v>
      </c>
      <c r="F192" s="610">
        <f>NonQM!J75</f>
        <v>-2.5</v>
      </c>
      <c r="G192" s="610">
        <f>NonQM!K75</f>
        <v>-2.5</v>
      </c>
      <c r="H192" s="610">
        <f>NonQM!L75</f>
        <v>-2.5</v>
      </c>
      <c r="I192" s="610">
        <f>NonQM!M75</f>
        <v>-2.5</v>
      </c>
      <c r="J192" s="610">
        <f>NonQM!N75</f>
        <v>-2.75</v>
      </c>
      <c r="K192" s="610">
        <f>NonQM!O75</f>
        <v>-3</v>
      </c>
      <c r="L192" s="612" t="e">
        <f>NonQM!P75</f>
        <v>#N/A</v>
      </c>
      <c r="N192"/>
      <c r="O192" s="499"/>
    </row>
    <row r="193" spans="2:16" x14ac:dyDescent="0.25">
      <c r="B193" s="376" t="s">
        <v>161</v>
      </c>
      <c r="C193" s="377"/>
      <c r="D193" s="44">
        <v>-1.5</v>
      </c>
      <c r="E193" s="44">
        <v>-1.5</v>
      </c>
      <c r="F193" s="44">
        <v>-1.5</v>
      </c>
      <c r="G193" s="44">
        <v>-1.5</v>
      </c>
      <c r="H193" s="44">
        <v>-2</v>
      </c>
      <c r="I193" s="44">
        <v>-2</v>
      </c>
      <c r="J193" s="44" t="e">
        <v>#N/A</v>
      </c>
      <c r="K193" s="44" t="e">
        <v>#N/A</v>
      </c>
      <c r="L193" s="45" t="e">
        <v>#N/A</v>
      </c>
      <c r="N193"/>
      <c r="O193" s="499"/>
    </row>
    <row r="194" spans="2:16" x14ac:dyDescent="0.25">
      <c r="B194" s="376" t="s">
        <v>223</v>
      </c>
      <c r="C194" s="377"/>
      <c r="D194" s="44">
        <v>0</v>
      </c>
      <c r="E194" s="44">
        <v>0</v>
      </c>
      <c r="F194" s="44">
        <v>0</v>
      </c>
      <c r="G194" s="44">
        <v>0</v>
      </c>
      <c r="H194" s="44">
        <v>0</v>
      </c>
      <c r="I194" s="44">
        <v>0</v>
      </c>
      <c r="J194" s="44">
        <v>0</v>
      </c>
      <c r="K194" s="44">
        <v>0</v>
      </c>
      <c r="L194" s="45">
        <v>0</v>
      </c>
      <c r="N194"/>
      <c r="O194" s="499"/>
    </row>
    <row r="195" spans="2:16" x14ac:dyDescent="0.25">
      <c r="B195" s="376" t="s">
        <v>232</v>
      </c>
      <c r="C195" s="377"/>
      <c r="D195" s="44">
        <v>0</v>
      </c>
      <c r="E195" s="44">
        <v>0</v>
      </c>
      <c r="F195" s="44">
        <v>0</v>
      </c>
      <c r="G195" s="44">
        <v>0</v>
      </c>
      <c r="H195" s="44">
        <v>0</v>
      </c>
      <c r="I195" s="44">
        <v>0</v>
      </c>
      <c r="J195" s="44">
        <v>0</v>
      </c>
      <c r="K195" s="44">
        <v>0</v>
      </c>
      <c r="L195" s="45">
        <v>0</v>
      </c>
      <c r="N195"/>
      <c r="O195" s="499"/>
      <c r="P195" s="499"/>
    </row>
    <row r="196" spans="2:16" x14ac:dyDescent="0.25">
      <c r="B196" s="376" t="s">
        <v>70</v>
      </c>
      <c r="C196" s="377"/>
      <c r="D196" s="44">
        <v>-0.5</v>
      </c>
      <c r="E196" s="44">
        <v>-0.5</v>
      </c>
      <c r="F196" s="44">
        <v>-0.5</v>
      </c>
      <c r="G196" s="44">
        <v>-0.5</v>
      </c>
      <c r="H196" s="44">
        <v>-0.5</v>
      </c>
      <c r="I196" s="44">
        <v>-0.5</v>
      </c>
      <c r="J196" s="44">
        <v>-0.5</v>
      </c>
      <c r="K196" s="44">
        <v>-0.5</v>
      </c>
      <c r="L196" s="45">
        <v>-0.5</v>
      </c>
      <c r="N196"/>
      <c r="O196" s="499"/>
      <c r="P196" s="499"/>
    </row>
    <row r="197" spans="2:16" x14ac:dyDescent="0.25">
      <c r="B197" s="376" t="s">
        <v>256</v>
      </c>
      <c r="C197" s="377"/>
      <c r="D197" s="44">
        <v>0</v>
      </c>
      <c r="E197" s="44">
        <v>0</v>
      </c>
      <c r="F197" s="44">
        <v>0</v>
      </c>
      <c r="G197" s="44">
        <v>0</v>
      </c>
      <c r="H197" s="44">
        <v>0</v>
      </c>
      <c r="I197" s="44">
        <v>0</v>
      </c>
      <c r="J197" s="44">
        <v>0</v>
      </c>
      <c r="K197" s="44">
        <v>0</v>
      </c>
      <c r="L197" s="45">
        <v>0</v>
      </c>
      <c r="N197"/>
      <c r="O197" s="499"/>
      <c r="P197" s="499"/>
    </row>
    <row r="198" spans="2:16" x14ac:dyDescent="0.25">
      <c r="B198" s="376" t="s">
        <v>259</v>
      </c>
      <c r="C198" s="377"/>
      <c r="D198" s="44">
        <v>0</v>
      </c>
      <c r="E198" s="44">
        <v>0</v>
      </c>
      <c r="F198" s="44">
        <v>0</v>
      </c>
      <c r="G198" s="44">
        <v>0</v>
      </c>
      <c r="H198" s="44">
        <v>0</v>
      </c>
      <c r="I198" s="44">
        <v>0</v>
      </c>
      <c r="J198" s="44">
        <v>0</v>
      </c>
      <c r="K198" s="44">
        <v>0</v>
      </c>
      <c r="L198" s="45">
        <v>0</v>
      </c>
      <c r="N198"/>
      <c r="O198" s="499"/>
      <c r="P198" s="499"/>
    </row>
    <row r="199" spans="2:16" x14ac:dyDescent="0.25">
      <c r="B199" s="376" t="s">
        <v>262</v>
      </c>
      <c r="C199" s="377"/>
      <c r="D199" s="44">
        <v>0</v>
      </c>
      <c r="E199" s="44">
        <v>0</v>
      </c>
      <c r="F199" s="44">
        <v>0</v>
      </c>
      <c r="G199" s="44">
        <v>0</v>
      </c>
      <c r="H199" s="44">
        <v>0</v>
      </c>
      <c r="I199" s="44">
        <v>0</v>
      </c>
      <c r="J199" s="44">
        <v>0</v>
      </c>
      <c r="K199" s="44">
        <v>0</v>
      </c>
      <c r="L199" s="45">
        <v>0</v>
      </c>
    </row>
    <row r="200" spans="2:16" x14ac:dyDescent="0.25">
      <c r="B200" s="376" t="s">
        <v>265</v>
      </c>
      <c r="C200" s="377"/>
      <c r="D200" s="44">
        <v>0</v>
      </c>
      <c r="E200" s="44">
        <v>0</v>
      </c>
      <c r="F200" s="44">
        <v>0</v>
      </c>
      <c r="G200" s="44">
        <v>0</v>
      </c>
      <c r="H200" s="44">
        <v>0</v>
      </c>
      <c r="I200" s="44">
        <v>0</v>
      </c>
      <c r="J200" s="44">
        <v>0</v>
      </c>
      <c r="K200" s="44">
        <v>0</v>
      </c>
      <c r="L200" s="45">
        <v>0</v>
      </c>
    </row>
    <row r="201" spans="2:16" x14ac:dyDescent="0.25">
      <c r="B201" s="376" t="s">
        <v>219</v>
      </c>
      <c r="C201" s="377"/>
      <c r="D201" s="44">
        <v>0</v>
      </c>
      <c r="E201" s="44">
        <v>0</v>
      </c>
      <c r="F201" s="44">
        <v>0</v>
      </c>
      <c r="G201" s="44">
        <v>0</v>
      </c>
      <c r="H201" s="44">
        <v>0</v>
      </c>
      <c r="I201" s="44">
        <v>0</v>
      </c>
      <c r="J201" s="44">
        <v>0</v>
      </c>
      <c r="K201" s="44">
        <v>0</v>
      </c>
      <c r="L201" s="45">
        <v>0</v>
      </c>
    </row>
    <row r="202" spans="2:16" x14ac:dyDescent="0.25">
      <c r="B202" s="376" t="s">
        <v>227</v>
      </c>
      <c r="C202" s="377"/>
      <c r="D202" s="44">
        <v>0</v>
      </c>
      <c r="E202" s="44">
        <v>0</v>
      </c>
      <c r="F202" s="44">
        <v>0</v>
      </c>
      <c r="G202" s="44">
        <v>0</v>
      </c>
      <c r="H202" s="44">
        <v>0</v>
      </c>
      <c r="I202" s="44">
        <v>0</v>
      </c>
      <c r="J202" s="44">
        <v>0</v>
      </c>
      <c r="K202" s="44">
        <v>0</v>
      </c>
      <c r="L202" s="45">
        <v>0</v>
      </c>
    </row>
    <row r="203" spans="2:16" x14ac:dyDescent="0.25">
      <c r="B203" s="376" t="s">
        <v>235</v>
      </c>
      <c r="C203" s="377"/>
      <c r="D203" s="44">
        <v>0</v>
      </c>
      <c r="E203" s="44">
        <v>0</v>
      </c>
      <c r="F203" s="44">
        <v>0</v>
      </c>
      <c r="G203" s="44">
        <v>0</v>
      </c>
      <c r="H203" s="44">
        <v>0</v>
      </c>
      <c r="I203" s="44">
        <v>0</v>
      </c>
      <c r="J203" s="44">
        <v>0</v>
      </c>
      <c r="K203" s="44">
        <v>0</v>
      </c>
      <c r="L203" s="45">
        <v>0</v>
      </c>
    </row>
    <row r="204" spans="2:16" x14ac:dyDescent="0.25">
      <c r="B204" s="376" t="s">
        <v>241</v>
      </c>
      <c r="C204" s="377"/>
      <c r="D204" s="44">
        <v>0</v>
      </c>
      <c r="E204" s="44">
        <v>0</v>
      </c>
      <c r="F204" s="44">
        <v>0</v>
      </c>
      <c r="G204" s="44">
        <v>0</v>
      </c>
      <c r="H204" s="44">
        <v>0</v>
      </c>
      <c r="I204" s="44">
        <v>0</v>
      </c>
      <c r="J204" s="44">
        <v>0</v>
      </c>
      <c r="K204" s="44">
        <v>0</v>
      </c>
      <c r="L204" s="45">
        <v>0</v>
      </c>
    </row>
    <row r="205" spans="2:16" x14ac:dyDescent="0.25">
      <c r="B205" s="376" t="s">
        <v>245</v>
      </c>
      <c r="C205" s="377"/>
      <c r="D205" s="44">
        <v>0</v>
      </c>
      <c r="E205" s="44">
        <v>0</v>
      </c>
      <c r="F205" s="44">
        <v>0</v>
      </c>
      <c r="G205" s="44">
        <v>0</v>
      </c>
      <c r="H205" s="44">
        <v>0</v>
      </c>
      <c r="I205" s="44">
        <v>0</v>
      </c>
      <c r="J205" s="44">
        <v>0</v>
      </c>
      <c r="K205" s="44">
        <v>0</v>
      </c>
      <c r="L205" s="45">
        <v>0</v>
      </c>
    </row>
    <row r="206" spans="2:16" x14ac:dyDescent="0.25">
      <c r="B206" s="376" t="s">
        <v>247</v>
      </c>
      <c r="C206" s="377"/>
      <c r="D206" s="44">
        <v>0</v>
      </c>
      <c r="E206" s="44">
        <v>0</v>
      </c>
      <c r="F206" s="44">
        <v>0</v>
      </c>
      <c r="G206" s="44">
        <v>0</v>
      </c>
      <c r="H206" s="44">
        <v>0</v>
      </c>
      <c r="I206" s="44">
        <v>0</v>
      </c>
      <c r="J206" s="44">
        <v>0</v>
      </c>
      <c r="K206" s="44">
        <v>0</v>
      </c>
      <c r="L206" s="45">
        <v>0</v>
      </c>
    </row>
    <row r="207" spans="2:16" x14ac:dyDescent="0.25">
      <c r="B207" s="376" t="s">
        <v>251</v>
      </c>
      <c r="C207" s="377"/>
      <c r="D207" s="44">
        <v>0</v>
      </c>
      <c r="E207" s="44">
        <v>0</v>
      </c>
      <c r="F207" s="44">
        <v>0</v>
      </c>
      <c r="G207" s="44">
        <v>0</v>
      </c>
      <c r="H207" s="44">
        <v>0</v>
      </c>
      <c r="I207" s="44">
        <v>0</v>
      </c>
      <c r="J207" s="44">
        <v>0</v>
      </c>
      <c r="K207" s="44">
        <v>0</v>
      </c>
      <c r="L207" s="45">
        <v>0</v>
      </c>
    </row>
    <row r="208" spans="2:16" x14ac:dyDescent="0.25">
      <c r="B208" s="376" t="s">
        <v>252</v>
      </c>
      <c r="C208" s="377"/>
      <c r="D208" s="44">
        <v>0</v>
      </c>
      <c r="E208" s="44">
        <v>0</v>
      </c>
      <c r="F208" s="44">
        <v>0</v>
      </c>
      <c r="G208" s="44">
        <v>0</v>
      </c>
      <c r="H208" s="44">
        <v>0</v>
      </c>
      <c r="I208" s="44">
        <v>0</v>
      </c>
      <c r="J208" s="44">
        <v>0</v>
      </c>
      <c r="K208" s="44">
        <v>0</v>
      </c>
      <c r="L208" s="45">
        <v>0</v>
      </c>
    </row>
    <row r="209" spans="2:12" x14ac:dyDescent="0.25">
      <c r="B209" s="376" t="s">
        <v>188</v>
      </c>
      <c r="C209" s="377"/>
      <c r="D209" s="44">
        <v>-0.25</v>
      </c>
      <c r="E209" s="44">
        <v>-0.25</v>
      </c>
      <c r="F209" s="44">
        <v>-0.25</v>
      </c>
      <c r="G209" s="44">
        <v>-0.25</v>
      </c>
      <c r="H209" s="44">
        <v>-0.25</v>
      </c>
      <c r="I209" s="44">
        <v>-0.25</v>
      </c>
      <c r="J209" s="44">
        <v>-0.25</v>
      </c>
      <c r="K209" s="44">
        <v>-0.25</v>
      </c>
      <c r="L209" s="45">
        <v>-0.25</v>
      </c>
    </row>
    <row r="210" spans="2:12" x14ac:dyDescent="0.25">
      <c r="B210" s="376" t="s">
        <v>189</v>
      </c>
      <c r="C210" s="377"/>
      <c r="D210" s="44">
        <v>-0.25</v>
      </c>
      <c r="E210" s="44">
        <v>-0.25</v>
      </c>
      <c r="F210" s="44">
        <v>-0.25</v>
      </c>
      <c r="G210" s="44">
        <v>-0.25</v>
      </c>
      <c r="H210" s="44">
        <v>-0.25</v>
      </c>
      <c r="I210" s="44">
        <v>-0.25</v>
      </c>
      <c r="J210" s="44">
        <v>-0.25</v>
      </c>
      <c r="K210" s="44">
        <v>-0.25</v>
      </c>
      <c r="L210" s="44">
        <v>-0.25</v>
      </c>
    </row>
    <row r="211" spans="2:12" x14ac:dyDescent="0.25">
      <c r="B211" s="376" t="s">
        <v>190</v>
      </c>
      <c r="C211" s="377"/>
      <c r="D211" s="44">
        <v>-0.25</v>
      </c>
      <c r="E211" s="44">
        <v>-0.25</v>
      </c>
      <c r="F211" s="44">
        <v>-0.25</v>
      </c>
      <c r="G211" s="44">
        <v>-0.25</v>
      </c>
      <c r="H211" s="44">
        <v>-0.25</v>
      </c>
      <c r="I211" s="44">
        <v>-0.25</v>
      </c>
      <c r="J211" s="44">
        <v>-0.25</v>
      </c>
      <c r="K211" s="44">
        <v>-0.25</v>
      </c>
      <c r="L211" s="45">
        <v>-0.25</v>
      </c>
    </row>
    <row r="212" spans="2:12" x14ac:dyDescent="0.25">
      <c r="B212" s="376" t="s">
        <v>192</v>
      </c>
      <c r="C212" s="377"/>
      <c r="D212" s="44">
        <v>-0.25</v>
      </c>
      <c r="E212" s="44">
        <v>-0.25</v>
      </c>
      <c r="F212" s="44">
        <v>-0.25</v>
      </c>
      <c r="G212" s="44">
        <v>-0.25</v>
      </c>
      <c r="H212" s="44">
        <v>-0.25</v>
      </c>
      <c r="I212" s="44">
        <v>-0.25</v>
      </c>
      <c r="J212" s="44">
        <v>-0.25</v>
      </c>
      <c r="K212" s="44">
        <v>-0.25</v>
      </c>
      <c r="L212" s="45">
        <v>-0.25</v>
      </c>
    </row>
    <row r="213" spans="2:12" x14ac:dyDescent="0.25">
      <c r="B213" s="376" t="s">
        <v>895</v>
      </c>
      <c r="C213" s="377"/>
      <c r="D213" s="44">
        <v>0</v>
      </c>
      <c r="E213" s="44">
        <v>0</v>
      </c>
      <c r="F213" s="44">
        <v>0</v>
      </c>
      <c r="G213" s="44">
        <v>0</v>
      </c>
      <c r="H213" s="44">
        <v>0</v>
      </c>
      <c r="I213" s="44">
        <v>0</v>
      </c>
      <c r="J213" s="44">
        <v>0</v>
      </c>
      <c r="K213" s="44">
        <v>0</v>
      </c>
      <c r="L213" s="45">
        <v>0</v>
      </c>
    </row>
    <row r="214" spans="2:12" x14ac:dyDescent="0.25">
      <c r="B214" s="376" t="s">
        <v>193</v>
      </c>
      <c r="C214" s="377"/>
      <c r="D214" s="44">
        <v>-0.25</v>
      </c>
      <c r="E214" s="44">
        <v>-0.25</v>
      </c>
      <c r="F214" s="44">
        <v>-0.25</v>
      </c>
      <c r="G214" s="44">
        <v>-0.25</v>
      </c>
      <c r="H214" s="44">
        <v>-0.25</v>
      </c>
      <c r="I214" s="44">
        <v>-0.25</v>
      </c>
      <c r="J214" s="44">
        <v>-0.25</v>
      </c>
      <c r="K214" s="44">
        <v>-0.25</v>
      </c>
      <c r="L214" s="45">
        <v>-0.25</v>
      </c>
    </row>
    <row r="215" spans="2:12" x14ac:dyDescent="0.25">
      <c r="B215" s="376" t="s">
        <v>194</v>
      </c>
      <c r="C215" s="377"/>
      <c r="D215" s="44">
        <v>0.15</v>
      </c>
      <c r="E215" s="44">
        <v>0.15</v>
      </c>
      <c r="F215" s="44">
        <v>0.15</v>
      </c>
      <c r="G215" s="44">
        <v>0.15</v>
      </c>
      <c r="H215" s="44">
        <v>0.15</v>
      </c>
      <c r="I215" s="44">
        <v>0.15</v>
      </c>
      <c r="J215" s="44">
        <v>0.15</v>
      </c>
      <c r="K215" s="44">
        <v>0.15</v>
      </c>
      <c r="L215" s="44">
        <v>0.15</v>
      </c>
    </row>
    <row r="216" spans="2:12" x14ac:dyDescent="0.25">
      <c r="B216" s="376" t="s">
        <v>66</v>
      </c>
      <c r="C216" s="377"/>
      <c r="D216" s="44">
        <v>0</v>
      </c>
      <c r="E216" s="44">
        <v>0</v>
      </c>
      <c r="F216" s="44">
        <v>0</v>
      </c>
      <c r="G216" s="44">
        <v>0</v>
      </c>
      <c r="H216" s="44">
        <v>0</v>
      </c>
      <c r="I216" s="44">
        <v>0</v>
      </c>
      <c r="J216" s="44">
        <v>0</v>
      </c>
      <c r="K216" s="44">
        <v>0</v>
      </c>
      <c r="L216" s="45">
        <v>0</v>
      </c>
    </row>
    <row r="217" spans="2:12" x14ac:dyDescent="0.25">
      <c r="B217" s="376" t="s">
        <v>107</v>
      </c>
      <c r="C217" s="377"/>
      <c r="D217" s="44">
        <v>-0.25</v>
      </c>
      <c r="E217" s="44">
        <v>-0.25</v>
      </c>
      <c r="F217" s="44">
        <v>-0.25</v>
      </c>
      <c r="G217" s="44">
        <v>-0.25</v>
      </c>
      <c r="H217" s="44">
        <v>-0.25</v>
      </c>
      <c r="I217" s="44">
        <v>-0.25</v>
      </c>
      <c r="J217" s="44">
        <v>-0.25</v>
      </c>
      <c r="K217" s="44">
        <v>-0.25</v>
      </c>
      <c r="L217" s="45">
        <v>-0.25</v>
      </c>
    </row>
    <row r="218" spans="2:12" x14ac:dyDescent="0.25">
      <c r="B218" s="376" t="s">
        <v>112</v>
      </c>
      <c r="C218" s="377"/>
      <c r="D218" s="44">
        <v>-0.5</v>
      </c>
      <c r="E218" s="44">
        <v>-0.5</v>
      </c>
      <c r="F218" s="44">
        <v>-0.5</v>
      </c>
      <c r="G218" s="44">
        <v>-0.5</v>
      </c>
      <c r="H218" s="44">
        <v>-0.5</v>
      </c>
      <c r="I218" s="44">
        <v>-0.5</v>
      </c>
      <c r="J218" s="44">
        <v>-0.5</v>
      </c>
      <c r="K218" s="44">
        <v>-0.5</v>
      </c>
      <c r="L218" s="45">
        <v>-0.5</v>
      </c>
    </row>
  </sheetData>
  <sheetProtection selectLockedCells="1"/>
  <mergeCells count="22">
    <mergeCell ref="B162:L162"/>
    <mergeCell ref="B161:C161"/>
    <mergeCell ref="I134:J134"/>
    <mergeCell ref="I80:L80"/>
    <mergeCell ref="I135:J135"/>
    <mergeCell ref="B129:D129"/>
    <mergeCell ref="B130:C130"/>
    <mergeCell ref="B131:C131"/>
    <mergeCell ref="B132:C132"/>
    <mergeCell ref="B133:C133"/>
    <mergeCell ref="B134:C134"/>
    <mergeCell ref="B80:E80"/>
    <mergeCell ref="B135:C135"/>
    <mergeCell ref="B138:C138"/>
    <mergeCell ref="B139:C139"/>
    <mergeCell ref="B140:C140"/>
    <mergeCell ref="B144:C144"/>
    <mergeCell ref="B136:C136"/>
    <mergeCell ref="B137:C137"/>
    <mergeCell ref="B141:C141"/>
    <mergeCell ref="B142:C142"/>
    <mergeCell ref="B143:C143"/>
  </mergeCells>
  <phoneticPr fontId="62" type="noConversion"/>
  <conditionalFormatting sqref="B161:B162">
    <cfRule type="containsText" dxfId="96" priority="6" operator="containsText" text="n/a">
      <formula>NOT(ISERROR(SEARCH("n/a",B161)))</formula>
    </cfRule>
  </conditionalFormatting>
  <conditionalFormatting sqref="B174">
    <cfRule type="containsText" dxfId="95" priority="5" operator="containsText" text="n/a">
      <formula>NOT(ISERROR(SEARCH("n/a",B174)))</formula>
    </cfRule>
  </conditionalFormatting>
  <conditionalFormatting sqref="D161:L161">
    <cfRule type="containsText" dxfId="94" priority="7" operator="containsText" text="n/a">
      <formula>NOT(ISERROR(SEARCH("n/a",D161)))</formula>
    </cfRule>
  </conditionalFormatting>
  <conditionalFormatting sqref="AO39">
    <cfRule type="expression" priority="9">
      <formula>#REF!</formula>
    </cfRule>
  </conditionalFormatting>
  <conditionalFormatting sqref="AO41">
    <cfRule type="expression" priority="11">
      <formula>#REF!</formula>
    </cfRule>
  </conditionalFormatting>
  <conditionalFormatting sqref="T160:U160">
    <cfRule type="containsText" dxfId="93" priority="2" operator="containsText" text="n/a">
      <formula>NOT(ISERROR(SEARCH("n/a",T160)))</formula>
    </cfRule>
  </conditionalFormatting>
  <conditionalFormatting sqref="T159">
    <cfRule type="containsText" dxfId="92" priority="1" operator="containsText" text="n/a">
      <formula>NOT(ISERROR(SEARCH("n/a",T159)))</formula>
    </cfRule>
  </conditionalFormatting>
  <pageMargins left="0.7" right="0.7" top="0.75" bottom="0.75" header="0.3" footer="0.3"/>
  <pageSetup orientation="portrait" horizontalDpi="1200"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348EAF-91E0-4BE7-B1F8-B03C2082A933}">
  <sheetPr codeName="Sheet23"/>
  <dimension ref="A1:P35"/>
  <sheetViews>
    <sheetView zoomScale="85" zoomScaleNormal="85" workbookViewId="0">
      <selection activeCell="C13" sqref="C13:D13"/>
    </sheetView>
  </sheetViews>
  <sheetFormatPr defaultRowHeight="15" x14ac:dyDescent="0.25"/>
  <cols>
    <col min="1" max="1" width="20.7109375" style="452" customWidth="1"/>
    <col min="2" max="2" width="30.85546875" style="452" customWidth="1"/>
    <col min="3" max="3" width="28.140625" style="452" customWidth="1"/>
    <col min="4" max="4" width="26.42578125" style="452" customWidth="1"/>
    <col min="5" max="5" width="9.140625" style="452"/>
    <col min="6" max="6" width="44" style="463" customWidth="1"/>
    <col min="7" max="7" width="42.5703125" style="452" customWidth="1"/>
    <col min="8" max="9" width="43.28515625" style="452" customWidth="1"/>
    <col min="10" max="10" width="22.28515625" style="452" customWidth="1"/>
    <col min="11" max="14" width="9.140625" style="452"/>
    <col min="15" max="15" width="14.42578125" style="452" customWidth="1"/>
    <col min="16" max="16384" width="9.140625" style="452"/>
  </cols>
  <sheetData>
    <row r="1" spans="1:16" ht="15.75" thickBot="1" x14ac:dyDescent="0.3">
      <c r="A1" s="461"/>
      <c r="B1" s="460"/>
      <c r="C1" s="461"/>
      <c r="D1" s="460"/>
    </row>
    <row r="2" spans="1:16" ht="15" customHeight="1" thickBot="1" x14ac:dyDescent="0.3">
      <c r="A2" s="857" t="s">
        <v>738</v>
      </c>
      <c r="B2" s="858"/>
      <c r="C2" s="858"/>
      <c r="D2" s="859"/>
      <c r="F2" s="888" t="s">
        <v>750</v>
      </c>
      <c r="G2" s="889"/>
      <c r="H2" s="880" t="s">
        <v>743</v>
      </c>
      <c r="I2" s="881"/>
      <c r="K2" s="466"/>
      <c r="L2" s="871"/>
      <c r="M2" s="871"/>
      <c r="O2" s="464"/>
      <c r="P2" s="463"/>
    </row>
    <row r="3" spans="1:16" x14ac:dyDescent="0.25">
      <c r="A3" s="860" t="s">
        <v>737</v>
      </c>
      <c r="B3" s="861"/>
      <c r="C3" s="862" t="s">
        <v>736</v>
      </c>
      <c r="D3" s="863"/>
      <c r="F3" s="890"/>
      <c r="G3" s="891"/>
      <c r="H3" s="874" t="s">
        <v>748</v>
      </c>
      <c r="I3" s="875"/>
      <c r="K3" s="466"/>
      <c r="L3" s="872"/>
      <c r="M3" s="872"/>
      <c r="O3" s="464"/>
      <c r="P3" s="463"/>
    </row>
    <row r="4" spans="1:16" ht="15.75" thickBot="1" x14ac:dyDescent="0.3">
      <c r="A4" s="862" t="s">
        <v>735</v>
      </c>
      <c r="B4" s="863"/>
      <c r="C4" s="860" t="s">
        <v>734</v>
      </c>
      <c r="D4" s="861"/>
      <c r="F4" s="890"/>
      <c r="G4" s="891"/>
      <c r="H4" s="878"/>
      <c r="I4" s="879"/>
      <c r="K4" s="466"/>
      <c r="L4" s="872"/>
      <c r="M4" s="872"/>
      <c r="O4" s="464"/>
      <c r="P4" s="463"/>
    </row>
    <row r="5" spans="1:16" ht="15.75" thickBot="1" x14ac:dyDescent="0.3">
      <c r="A5" s="860" t="s">
        <v>733</v>
      </c>
      <c r="B5" s="861"/>
      <c r="C5" s="862" t="s">
        <v>732</v>
      </c>
      <c r="D5" s="863"/>
      <c r="F5" s="876" t="s">
        <v>751</v>
      </c>
      <c r="G5" s="893"/>
      <c r="H5" s="880" t="s">
        <v>744</v>
      </c>
      <c r="I5" s="881"/>
      <c r="K5" s="466"/>
      <c r="L5" s="871"/>
      <c r="M5" s="871"/>
    </row>
    <row r="6" spans="1:16" ht="15" customHeight="1" x14ac:dyDescent="0.25">
      <c r="A6" s="862" t="s">
        <v>235</v>
      </c>
      <c r="B6" s="863"/>
      <c r="C6" s="860" t="s">
        <v>731</v>
      </c>
      <c r="D6" s="861"/>
      <c r="F6" s="894"/>
      <c r="G6" s="893"/>
      <c r="H6" s="874" t="s">
        <v>746</v>
      </c>
      <c r="I6" s="875"/>
      <c r="K6" s="467"/>
      <c r="L6" s="872"/>
      <c r="M6" s="872"/>
      <c r="O6" s="463"/>
    </row>
    <row r="7" spans="1:16" x14ac:dyDescent="0.25">
      <c r="A7" s="860" t="s">
        <v>730</v>
      </c>
      <c r="B7" s="861"/>
      <c r="C7" s="862" t="s">
        <v>729</v>
      </c>
      <c r="D7" s="863"/>
      <c r="F7" s="876" t="s">
        <v>752</v>
      </c>
      <c r="G7" s="893"/>
      <c r="H7" s="876"/>
      <c r="I7" s="877"/>
      <c r="K7" s="467"/>
      <c r="L7" s="872"/>
      <c r="M7" s="872"/>
      <c r="O7" s="463"/>
    </row>
    <row r="8" spans="1:16" ht="15.75" thickBot="1" x14ac:dyDescent="0.3">
      <c r="A8" s="862" t="s">
        <v>728</v>
      </c>
      <c r="B8" s="863"/>
      <c r="C8" s="860" t="s">
        <v>727</v>
      </c>
      <c r="D8" s="861"/>
      <c r="F8" s="894"/>
      <c r="G8" s="893"/>
      <c r="H8" s="878"/>
      <c r="I8" s="879"/>
      <c r="L8" s="872"/>
      <c r="M8" s="872"/>
      <c r="O8" s="463"/>
    </row>
    <row r="9" spans="1:16" ht="15" customHeight="1" thickBot="1" x14ac:dyDescent="0.3">
      <c r="A9" s="860" t="s">
        <v>726</v>
      </c>
      <c r="B9" s="861"/>
      <c r="C9" s="862" t="s">
        <v>725</v>
      </c>
      <c r="D9" s="863"/>
      <c r="F9" s="876" t="s">
        <v>753</v>
      </c>
      <c r="G9" s="892"/>
      <c r="H9" s="880" t="s">
        <v>745</v>
      </c>
      <c r="I9" s="881"/>
      <c r="K9" s="467"/>
      <c r="L9" s="871"/>
      <c r="M9" s="871"/>
    </row>
    <row r="10" spans="1:16" ht="15.75" thickBot="1" x14ac:dyDescent="0.3">
      <c r="A10" s="862" t="s">
        <v>724</v>
      </c>
      <c r="B10" s="863"/>
      <c r="C10" s="860" t="s">
        <v>723</v>
      </c>
      <c r="D10" s="861"/>
      <c r="F10" s="876"/>
      <c r="G10" s="892"/>
      <c r="H10" s="882" t="s">
        <v>747</v>
      </c>
      <c r="I10" s="883"/>
      <c r="K10" s="467"/>
      <c r="L10" s="873"/>
      <c r="M10" s="873"/>
    </row>
    <row r="11" spans="1:16" x14ac:dyDescent="0.25">
      <c r="A11" s="860" t="s">
        <v>722</v>
      </c>
      <c r="B11" s="861"/>
      <c r="C11" s="862" t="s">
        <v>721</v>
      </c>
      <c r="D11" s="863"/>
      <c r="F11" s="876" t="s">
        <v>754</v>
      </c>
      <c r="G11" s="895"/>
      <c r="I11" s="465"/>
    </row>
    <row r="12" spans="1:16" ht="15" customHeight="1" x14ac:dyDescent="0.25">
      <c r="A12" s="862" t="s">
        <v>720</v>
      </c>
      <c r="B12" s="863"/>
      <c r="C12" s="860" t="s">
        <v>719</v>
      </c>
      <c r="D12" s="861"/>
      <c r="F12" s="894"/>
      <c r="G12" s="895"/>
      <c r="H12" s="467"/>
      <c r="I12" s="467"/>
      <c r="J12" s="467"/>
      <c r="K12" s="467"/>
    </row>
    <row r="13" spans="1:16" ht="15.75" thickBot="1" x14ac:dyDescent="0.3">
      <c r="A13" s="860" t="s">
        <v>718</v>
      </c>
      <c r="B13" s="861"/>
      <c r="C13" s="862" t="s">
        <v>717</v>
      </c>
      <c r="D13" s="863"/>
      <c r="F13" s="896"/>
      <c r="G13" s="897"/>
      <c r="H13" s="467"/>
      <c r="I13" s="467"/>
      <c r="K13" s="467"/>
    </row>
    <row r="14" spans="1:16" ht="15.75" thickBot="1" x14ac:dyDescent="0.3">
      <c r="A14" s="862" t="s">
        <v>716</v>
      </c>
      <c r="B14" s="863"/>
      <c r="C14" s="860" t="s">
        <v>715</v>
      </c>
      <c r="D14" s="861"/>
    </row>
    <row r="15" spans="1:16" ht="15.75" thickBot="1" x14ac:dyDescent="0.3">
      <c r="A15" s="860" t="s">
        <v>714</v>
      </c>
      <c r="B15" s="861"/>
      <c r="C15" s="862" t="s">
        <v>713</v>
      </c>
      <c r="D15" s="863"/>
      <c r="F15" s="884" t="s">
        <v>749</v>
      </c>
      <c r="G15" s="885"/>
      <c r="H15"/>
      <c r="I15"/>
      <c r="J15" s="465"/>
      <c r="K15" s="465"/>
    </row>
    <row r="16" spans="1:16" ht="15" customHeight="1" x14ac:dyDescent="0.25">
      <c r="A16" s="862" t="s">
        <v>712</v>
      </c>
      <c r="B16" s="863"/>
      <c r="C16" s="860" t="s">
        <v>711</v>
      </c>
      <c r="D16" s="861"/>
      <c r="F16" s="898" t="s">
        <v>755</v>
      </c>
      <c r="G16" s="899"/>
      <c r="H16"/>
      <c r="I16"/>
      <c r="J16" s="467"/>
    </row>
    <row r="17" spans="1:16" ht="15" customHeight="1" x14ac:dyDescent="0.25">
      <c r="A17" s="860" t="s">
        <v>710</v>
      </c>
      <c r="B17" s="861"/>
      <c r="C17" s="862" t="s">
        <v>709</v>
      </c>
      <c r="D17" s="863"/>
      <c r="F17" s="894"/>
      <c r="G17" s="895"/>
      <c r="H17"/>
      <c r="I17"/>
      <c r="J17" s="467"/>
      <c r="K17" s="467"/>
      <c r="L17" s="467"/>
      <c r="M17" s="467"/>
      <c r="P17" s="463"/>
    </row>
    <row r="18" spans="1:16" x14ac:dyDescent="0.25">
      <c r="A18" s="862" t="s">
        <v>708</v>
      </c>
      <c r="B18" s="863"/>
      <c r="C18" s="860" t="s">
        <v>707</v>
      </c>
      <c r="D18" s="861"/>
      <c r="F18" s="894"/>
      <c r="G18" s="895"/>
      <c r="H18"/>
      <c r="I18"/>
      <c r="J18" s="467"/>
      <c r="K18" s="467"/>
      <c r="L18" s="467"/>
      <c r="M18" s="467"/>
      <c r="P18" s="463"/>
    </row>
    <row r="19" spans="1:16" x14ac:dyDescent="0.25">
      <c r="A19" s="860" t="s">
        <v>706</v>
      </c>
      <c r="B19" s="861"/>
      <c r="C19" s="862" t="s">
        <v>705</v>
      </c>
      <c r="D19" s="863"/>
      <c r="F19" s="894"/>
      <c r="G19" s="895"/>
      <c r="H19"/>
      <c r="I19"/>
      <c r="J19" s="467"/>
      <c r="K19" s="467"/>
      <c r="L19" s="467"/>
      <c r="M19" s="467"/>
      <c r="P19" s="463"/>
    </row>
    <row r="20" spans="1:16" x14ac:dyDescent="0.25">
      <c r="A20" s="862" t="s">
        <v>704</v>
      </c>
      <c r="B20" s="863"/>
      <c r="C20" s="860" t="s">
        <v>703</v>
      </c>
      <c r="D20" s="861"/>
      <c r="F20" s="894"/>
      <c r="G20" s="895"/>
      <c r="H20"/>
      <c r="I20"/>
      <c r="J20" s="467"/>
      <c r="K20" s="467"/>
      <c r="L20" s="467"/>
      <c r="M20" s="467"/>
      <c r="P20" s="463"/>
    </row>
    <row r="21" spans="1:16" x14ac:dyDescent="0.25">
      <c r="A21" s="860" t="s">
        <v>702</v>
      </c>
      <c r="B21" s="861"/>
      <c r="C21" s="862" t="s">
        <v>701</v>
      </c>
      <c r="D21" s="863"/>
      <c r="F21" s="876" t="s">
        <v>756</v>
      </c>
      <c r="G21" s="895"/>
      <c r="H21"/>
      <c r="I21"/>
      <c r="J21" s="467"/>
      <c r="K21" s="467"/>
      <c r="L21" s="467"/>
      <c r="M21" s="467"/>
    </row>
    <row r="22" spans="1:16" x14ac:dyDescent="0.25">
      <c r="A22" s="857" t="s">
        <v>700</v>
      </c>
      <c r="B22" s="858"/>
      <c r="C22" s="858"/>
      <c r="D22" s="859"/>
      <c r="F22" s="894"/>
      <c r="G22" s="895"/>
      <c r="H22"/>
      <c r="I22"/>
      <c r="P22" s="463"/>
    </row>
    <row r="23" spans="1:16" ht="15" customHeight="1" x14ac:dyDescent="0.25">
      <c r="A23" s="869" t="s">
        <v>699</v>
      </c>
      <c r="B23" s="870"/>
      <c r="C23" s="862" t="s">
        <v>698</v>
      </c>
      <c r="D23" s="863"/>
      <c r="F23" s="894"/>
      <c r="G23" s="895"/>
      <c r="H23"/>
      <c r="I23"/>
      <c r="J23" s="467"/>
      <c r="K23" s="467"/>
      <c r="L23" s="467"/>
      <c r="M23" s="467"/>
      <c r="P23" s="463"/>
    </row>
    <row r="24" spans="1:16" x14ac:dyDescent="0.25">
      <c r="A24" s="862" t="s">
        <v>697</v>
      </c>
      <c r="B24" s="863"/>
      <c r="C24" s="860" t="s">
        <v>247</v>
      </c>
      <c r="D24" s="861"/>
      <c r="F24" s="894"/>
      <c r="G24" s="895"/>
      <c r="H24"/>
      <c r="I24"/>
      <c r="J24" s="467"/>
      <c r="K24" s="467"/>
      <c r="L24" s="467"/>
      <c r="M24" s="467"/>
      <c r="P24" s="463"/>
    </row>
    <row r="25" spans="1:16" x14ac:dyDescent="0.25">
      <c r="A25" s="860" t="s">
        <v>696</v>
      </c>
      <c r="B25" s="861"/>
      <c r="C25" s="864"/>
      <c r="D25" s="865"/>
      <c r="F25" s="894"/>
      <c r="G25" s="895"/>
      <c r="H25"/>
      <c r="I25"/>
      <c r="J25" s="467"/>
      <c r="K25" s="467"/>
      <c r="L25" s="467"/>
      <c r="M25" s="467"/>
      <c r="P25" s="463"/>
    </row>
    <row r="26" spans="1:16" x14ac:dyDescent="0.25">
      <c r="A26" s="857" t="s">
        <v>695</v>
      </c>
      <c r="B26" s="858"/>
      <c r="C26" s="858"/>
      <c r="D26" s="859"/>
      <c r="F26" s="876" t="s">
        <v>757</v>
      </c>
      <c r="G26" s="877"/>
      <c r="H26" s="467"/>
      <c r="I26" s="467"/>
      <c r="J26" s="467"/>
      <c r="K26" s="467"/>
      <c r="L26" s="467"/>
      <c r="M26" s="467"/>
      <c r="P26" s="463"/>
    </row>
    <row r="27" spans="1:16" x14ac:dyDescent="0.25">
      <c r="A27" s="459" t="s">
        <v>694</v>
      </c>
      <c r="B27" s="459" t="s">
        <v>693</v>
      </c>
      <c r="C27" s="459" t="s">
        <v>692</v>
      </c>
      <c r="D27" s="459" t="s">
        <v>691</v>
      </c>
      <c r="F27" s="876"/>
      <c r="G27" s="877"/>
      <c r="H27" s="467"/>
      <c r="I27" s="467"/>
      <c r="J27" s="467"/>
      <c r="K27" s="467"/>
      <c r="L27" s="467"/>
      <c r="M27" s="467"/>
    </row>
    <row r="28" spans="1:16" ht="90" x14ac:dyDescent="0.25">
      <c r="A28" s="454" t="s">
        <v>690</v>
      </c>
      <c r="B28" s="458" t="s">
        <v>689</v>
      </c>
      <c r="C28" s="453" t="s">
        <v>673</v>
      </c>
      <c r="D28" s="453" t="s">
        <v>688</v>
      </c>
      <c r="F28" s="876"/>
      <c r="G28" s="877"/>
    </row>
    <row r="29" spans="1:16" ht="75.75" thickBot="1" x14ac:dyDescent="0.3">
      <c r="A29" s="457" t="s">
        <v>241</v>
      </c>
      <c r="B29" s="455" t="s">
        <v>684</v>
      </c>
      <c r="C29" s="455" t="s">
        <v>687</v>
      </c>
      <c r="D29" s="455" t="s">
        <v>686</v>
      </c>
      <c r="F29" s="886" t="s">
        <v>758</v>
      </c>
      <c r="G29" s="887"/>
    </row>
    <row r="30" spans="1:16" x14ac:dyDescent="0.25">
      <c r="A30" s="454" t="s">
        <v>685</v>
      </c>
      <c r="B30" s="453" t="s">
        <v>684</v>
      </c>
      <c r="C30" s="453" t="s">
        <v>683</v>
      </c>
      <c r="D30" s="453" t="s">
        <v>668</v>
      </c>
    </row>
    <row r="31" spans="1:16" ht="30" x14ac:dyDescent="0.25">
      <c r="A31" s="457" t="s">
        <v>682</v>
      </c>
      <c r="B31" s="456" t="s">
        <v>681</v>
      </c>
      <c r="C31" s="455" t="s">
        <v>673</v>
      </c>
      <c r="D31" s="455" t="s">
        <v>680</v>
      </c>
    </row>
    <row r="32" spans="1:16" ht="30" x14ac:dyDescent="0.25">
      <c r="A32" s="454" t="s">
        <v>679</v>
      </c>
      <c r="B32" s="453" t="s">
        <v>678</v>
      </c>
      <c r="C32" s="453" t="s">
        <v>677</v>
      </c>
      <c r="D32" s="453" t="s">
        <v>676</v>
      </c>
    </row>
    <row r="33" spans="1:4" ht="45" x14ac:dyDescent="0.25">
      <c r="A33" s="457" t="s">
        <v>675</v>
      </c>
      <c r="B33" s="456" t="s">
        <v>674</v>
      </c>
      <c r="C33" s="455" t="s">
        <v>673</v>
      </c>
      <c r="D33" s="455" t="s">
        <v>672</v>
      </c>
    </row>
    <row r="34" spans="1:4" x14ac:dyDescent="0.25">
      <c r="A34" s="454" t="s">
        <v>671</v>
      </c>
      <c r="B34" s="453" t="s">
        <v>670</v>
      </c>
      <c r="C34" s="453" t="s">
        <v>669</v>
      </c>
      <c r="D34" s="453" t="s">
        <v>668</v>
      </c>
    </row>
    <row r="35" spans="1:4" x14ac:dyDescent="0.25">
      <c r="A35" s="866" t="s">
        <v>667</v>
      </c>
      <c r="B35" s="867"/>
      <c r="C35" s="867"/>
      <c r="D35" s="868"/>
    </row>
  </sheetData>
  <mergeCells count="70">
    <mergeCell ref="F15:G15"/>
    <mergeCell ref="F26:G28"/>
    <mergeCell ref="F29:G29"/>
    <mergeCell ref="F2:G4"/>
    <mergeCell ref="F9:G10"/>
    <mergeCell ref="F5:G6"/>
    <mergeCell ref="F7:G8"/>
    <mergeCell ref="F11:G13"/>
    <mergeCell ref="F16:G20"/>
    <mergeCell ref="F21:G25"/>
    <mergeCell ref="L2:M2"/>
    <mergeCell ref="L6:M8"/>
    <mergeCell ref="L9:M9"/>
    <mergeCell ref="L10:M10"/>
    <mergeCell ref="H6:I8"/>
    <mergeCell ref="H9:I9"/>
    <mergeCell ref="H10:I10"/>
    <mergeCell ref="L3:M4"/>
    <mergeCell ref="L5:M5"/>
    <mergeCell ref="H2:I2"/>
    <mergeCell ref="H3:I4"/>
    <mergeCell ref="H5:I5"/>
    <mergeCell ref="A26:D26"/>
    <mergeCell ref="A35:D35"/>
    <mergeCell ref="A22:D22"/>
    <mergeCell ref="A23:B23"/>
    <mergeCell ref="C23:D23"/>
    <mergeCell ref="A24:B24"/>
    <mergeCell ref="C24:D24"/>
    <mergeCell ref="A20:B20"/>
    <mergeCell ref="C20:D20"/>
    <mergeCell ref="A21:B21"/>
    <mergeCell ref="C21:D21"/>
    <mergeCell ref="A25:B25"/>
    <mergeCell ref="C25:D25"/>
    <mergeCell ref="A17:B17"/>
    <mergeCell ref="C17:D17"/>
    <mergeCell ref="A18:B18"/>
    <mergeCell ref="C18:D18"/>
    <mergeCell ref="A19:B19"/>
    <mergeCell ref="C19:D19"/>
    <mergeCell ref="A14:B14"/>
    <mergeCell ref="C14:D14"/>
    <mergeCell ref="A15:B15"/>
    <mergeCell ref="C15:D15"/>
    <mergeCell ref="A16:B16"/>
    <mergeCell ref="C16:D16"/>
    <mergeCell ref="A11:B11"/>
    <mergeCell ref="C11:D11"/>
    <mergeCell ref="A12:B12"/>
    <mergeCell ref="C12:D12"/>
    <mergeCell ref="A13:B13"/>
    <mergeCell ref="C13:D13"/>
    <mergeCell ref="A8:B8"/>
    <mergeCell ref="C8:D8"/>
    <mergeCell ref="A9:B9"/>
    <mergeCell ref="C9:D9"/>
    <mergeCell ref="A10:B10"/>
    <mergeCell ref="C10:D10"/>
    <mergeCell ref="A5:B5"/>
    <mergeCell ref="C5:D5"/>
    <mergeCell ref="A6:B6"/>
    <mergeCell ref="C6:D6"/>
    <mergeCell ref="A7:B7"/>
    <mergeCell ref="C7:D7"/>
    <mergeCell ref="A2:D2"/>
    <mergeCell ref="A3:B3"/>
    <mergeCell ref="C3:D3"/>
    <mergeCell ref="A4:B4"/>
    <mergeCell ref="C4:D4"/>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8029B2-8B46-4B46-896E-9143D9468D53}">
  <sheetPr codeName="Sheet19">
    <tabColor theme="4" tint="-0.499984740745262"/>
  </sheetPr>
  <dimension ref="A1:AV217"/>
  <sheetViews>
    <sheetView showGridLines="0" topLeftCell="AE1" zoomScale="85" zoomScaleNormal="85" workbookViewId="0">
      <selection activeCell="Z1" sqref="Z1"/>
    </sheetView>
  </sheetViews>
  <sheetFormatPr defaultColWidth="9.140625" defaultRowHeight="15" x14ac:dyDescent="0.25"/>
  <cols>
    <col min="1" max="1" width="29.7109375" style="162" customWidth="1"/>
    <col min="2" max="3" width="22.7109375" style="162" customWidth="1"/>
    <col min="4" max="4" width="20" style="162" customWidth="1"/>
    <col min="5" max="5" width="27.140625" style="189" bestFit="1" customWidth="1"/>
    <col min="6" max="6" width="35" style="162" bestFit="1" customWidth="1"/>
    <col min="7" max="7" width="21.42578125" style="162" bestFit="1" customWidth="1"/>
    <col min="8" max="8" width="30.28515625" style="162" customWidth="1"/>
    <col min="9" max="9" width="18" style="162" bestFit="1" customWidth="1"/>
    <col min="10" max="10" width="26.42578125" style="162" bestFit="1" customWidth="1"/>
    <col min="11" max="11" width="18" style="162" bestFit="1" customWidth="1"/>
    <col min="12" max="12" width="32.140625" style="162" bestFit="1" customWidth="1"/>
    <col min="13" max="13" width="19" style="162" bestFit="1" customWidth="1"/>
    <col min="14" max="14" width="43.5703125" style="162" customWidth="1"/>
    <col min="15" max="15" width="31.42578125" style="162" customWidth="1"/>
    <col min="16" max="16" width="20.140625" style="162" bestFit="1" customWidth="1"/>
    <col min="17" max="17" width="37.85546875" style="162" bestFit="1" customWidth="1"/>
    <col min="18" max="18" width="26.42578125" style="162" customWidth="1"/>
    <col min="19" max="19" width="67.42578125" style="174" bestFit="1" customWidth="1"/>
    <col min="20" max="20" width="37.42578125" style="174" bestFit="1" customWidth="1"/>
    <col min="21" max="21" width="38.28515625" style="174" bestFit="1" customWidth="1"/>
    <col min="22" max="22" width="45" style="174" customWidth="1"/>
    <col min="23" max="23" width="62.28515625" style="174" bestFit="1" customWidth="1"/>
    <col min="24" max="24" width="37.5703125" style="174" bestFit="1" customWidth="1"/>
    <col min="25" max="25" width="40.7109375" style="174" bestFit="1" customWidth="1"/>
    <col min="26" max="26" width="26.140625" style="174" customWidth="1"/>
    <col min="27" max="27" width="70.5703125" style="174" bestFit="1" customWidth="1"/>
    <col min="28" max="28" width="37.5703125" style="174" bestFit="1" customWidth="1"/>
    <col min="29" max="29" width="45.42578125" style="174" customWidth="1"/>
    <col min="30" max="30" width="14.7109375" style="174" bestFit="1" customWidth="1"/>
    <col min="31" max="31" width="16" style="162" bestFit="1" customWidth="1"/>
    <col min="32" max="32" width="9.140625" style="162"/>
    <col min="33" max="33" width="28.42578125" style="162" customWidth="1"/>
    <col min="34" max="34" width="35.42578125" style="162" customWidth="1"/>
    <col min="35" max="35" width="40.42578125" style="162" bestFit="1" customWidth="1"/>
    <col min="36" max="36" width="9.140625" style="162"/>
    <col min="37" max="37" width="21.7109375" style="162" bestFit="1" customWidth="1"/>
    <col min="38" max="38" width="21.7109375" style="162" customWidth="1"/>
    <col min="39" max="39" width="36.28515625" style="162" bestFit="1" customWidth="1"/>
    <col min="40" max="16384" width="9.140625" style="162"/>
  </cols>
  <sheetData>
    <row r="1" spans="1:31" x14ac:dyDescent="0.25">
      <c r="A1" s="165" t="s">
        <v>198</v>
      </c>
      <c r="B1" s="165" t="s">
        <v>199</v>
      </c>
      <c r="C1" s="165" t="s">
        <v>28</v>
      </c>
      <c r="D1" s="165" t="s">
        <v>40</v>
      </c>
      <c r="E1" s="497" t="s">
        <v>42</v>
      </c>
      <c r="F1" s="165" t="s">
        <v>46</v>
      </c>
      <c r="G1" s="165" t="s">
        <v>79</v>
      </c>
      <c r="H1" s="165" t="s">
        <v>200</v>
      </c>
      <c r="I1" s="165" t="s">
        <v>201</v>
      </c>
      <c r="J1" s="165" t="s">
        <v>48</v>
      </c>
      <c r="K1" s="165" t="s">
        <v>51</v>
      </c>
      <c r="L1" s="165" t="s">
        <v>50</v>
      </c>
      <c r="M1" s="165" t="s">
        <v>202</v>
      </c>
      <c r="N1" s="165" t="s">
        <v>203</v>
      </c>
      <c r="O1" s="165" t="s">
        <v>204</v>
      </c>
      <c r="P1" s="165" t="s">
        <v>44</v>
      </c>
      <c r="Q1" s="165" t="s">
        <v>205</v>
      </c>
      <c r="R1" s="166" t="s">
        <v>67</v>
      </c>
      <c r="S1" s="166" t="s">
        <v>70</v>
      </c>
      <c r="T1" s="165" t="s">
        <v>63</v>
      </c>
      <c r="U1" s="391"/>
      <c r="V1" s="392" t="s">
        <v>206</v>
      </c>
      <c r="W1" s="393"/>
      <c r="X1" s="389" t="str" cm="1">
        <f t="array" ref="X1">IF(AND(OR(NonQM!U11=B9:B11),OR(NonQM!U23=L4:L6)),V4,V3)</f>
        <v>Not Applicable</v>
      </c>
      <c r="Y1" s="428" t="s">
        <v>207</v>
      </c>
      <c r="Z1" s="170" t="b" cm="1">
        <f t="array" ref="Z1">IF(AND(OR(DSCR!S17=D3),OR(DSCR!S21=J3:J7)),0.25)</f>
        <v>0</v>
      </c>
      <c r="AA1" s="265" t="s">
        <v>208</v>
      </c>
      <c r="AB1" s="162"/>
      <c r="AC1" s="162"/>
      <c r="AD1" s="162"/>
    </row>
    <row r="2" spans="1:31" x14ac:dyDescent="0.25">
      <c r="A2" s="172" t="s">
        <v>32</v>
      </c>
      <c r="B2" s="172" t="s">
        <v>32</v>
      </c>
      <c r="C2" s="172" t="s">
        <v>32</v>
      </c>
      <c r="D2" s="172" t="s">
        <v>32</v>
      </c>
      <c r="E2" s="498" t="s">
        <v>32</v>
      </c>
      <c r="F2" s="172" t="s">
        <v>32</v>
      </c>
      <c r="G2" s="172" t="s">
        <v>32</v>
      </c>
      <c r="H2" s="172" t="s">
        <v>32</v>
      </c>
      <c r="I2" s="172" t="s">
        <v>32</v>
      </c>
      <c r="J2" s="172" t="s">
        <v>32</v>
      </c>
      <c r="K2" s="172" t="s">
        <v>32</v>
      </c>
      <c r="L2" s="172" t="s">
        <v>32</v>
      </c>
      <c r="M2" s="172" t="s">
        <v>32</v>
      </c>
      <c r="N2" s="172" t="s">
        <v>32</v>
      </c>
      <c r="O2" s="172" t="s">
        <v>32</v>
      </c>
      <c r="P2" s="172" t="s">
        <v>32</v>
      </c>
      <c r="Q2" s="172" t="s">
        <v>32</v>
      </c>
      <c r="R2" s="172" t="s">
        <v>32</v>
      </c>
      <c r="S2" s="172" t="s">
        <v>32</v>
      </c>
      <c r="T2" s="172" t="s">
        <v>32</v>
      </c>
      <c r="U2" s="394"/>
      <c r="V2" s="392" t="s">
        <v>209</v>
      </c>
      <c r="W2" s="393"/>
      <c r="X2" s="389" t="str" cm="1">
        <f t="array" ref="X2">IF(AND(OR(NonQM!U11=B3:B8),OR(NonQM!U13=C3:C4),OR(NonQM!U23=L4:L6)),V4,V3)</f>
        <v>Not Applicable</v>
      </c>
      <c r="Y2" s="428"/>
      <c r="Z2" s="170"/>
      <c r="AA2" s="224"/>
      <c r="AC2" s="162"/>
      <c r="AD2" s="162"/>
    </row>
    <row r="3" spans="1:31" x14ac:dyDescent="0.25">
      <c r="A3" s="162" t="s">
        <v>23</v>
      </c>
      <c r="B3" s="172" t="s">
        <v>13</v>
      </c>
      <c r="C3" s="172" t="s">
        <v>49</v>
      </c>
      <c r="D3" s="172" t="s">
        <v>177</v>
      </c>
      <c r="E3" s="498" t="s">
        <v>211</v>
      </c>
      <c r="F3" s="172" t="s">
        <v>212</v>
      </c>
      <c r="G3" s="172" t="s">
        <v>81</v>
      </c>
      <c r="H3" s="172" t="s">
        <v>103</v>
      </c>
      <c r="I3" s="172" t="s">
        <v>57</v>
      </c>
      <c r="J3" t="s">
        <v>69</v>
      </c>
      <c r="K3" s="172" t="s">
        <v>213</v>
      </c>
      <c r="L3" s="172" t="s">
        <v>214</v>
      </c>
      <c r="M3" s="172" t="s">
        <v>136</v>
      </c>
      <c r="N3" s="172" t="s">
        <v>215</v>
      </c>
      <c r="O3" s="172" t="s">
        <v>216</v>
      </c>
      <c r="P3" s="172" t="s">
        <v>217</v>
      </c>
      <c r="Q3" s="172" t="s">
        <v>218</v>
      </c>
      <c r="R3" s="172" t="s">
        <v>68</v>
      </c>
      <c r="S3" s="172" t="s">
        <v>68</v>
      </c>
      <c r="T3" s="172" t="s">
        <v>227</v>
      </c>
      <c r="U3" s="394"/>
      <c r="V3" s="421" t="s">
        <v>75</v>
      </c>
      <c r="W3" s="422"/>
      <c r="X3" s="427"/>
      <c r="Y3" s="429" t="s">
        <v>220</v>
      </c>
      <c r="Z3" s="430" cm="1">
        <f t="array" ref="Z3">IF(AND(OR(DSCR!S12=A9:A12),OR(DSCR!S21=J5:J7)),VLOOKUP($Y$3,DSCR!$F$30:$O$34,3,FALSE),0)</f>
        <v>0</v>
      </c>
      <c r="AA3" s="430" t="s">
        <v>220</v>
      </c>
      <c r="AB3" s="162"/>
      <c r="AC3" s="162"/>
      <c r="AD3" s="162"/>
    </row>
    <row r="4" spans="1:31" x14ac:dyDescent="0.25">
      <c r="A4" s="162" t="s">
        <v>25</v>
      </c>
      <c r="B4" s="172" t="s">
        <v>14</v>
      </c>
      <c r="C4" s="172" t="s">
        <v>29</v>
      </c>
      <c r="D4" s="175"/>
      <c r="E4" s="498" t="s">
        <v>60</v>
      </c>
      <c r="F4" s="172" t="s">
        <v>222</v>
      </c>
      <c r="G4" s="162" t="s">
        <v>83</v>
      </c>
      <c r="H4" s="172" t="s">
        <v>108</v>
      </c>
      <c r="I4" s="172" t="s">
        <v>152</v>
      </c>
      <c r="J4" t="s">
        <v>71</v>
      </c>
      <c r="K4" s="172" t="s">
        <v>100</v>
      </c>
      <c r="L4" s="172" t="s">
        <v>98</v>
      </c>
      <c r="M4" s="172" t="s">
        <v>54</v>
      </c>
      <c r="N4" s="172" t="s">
        <v>66</v>
      </c>
      <c r="O4" s="172"/>
      <c r="P4" s="172" t="s">
        <v>223</v>
      </c>
      <c r="Q4" s="172" t="s">
        <v>224</v>
      </c>
      <c r="R4" s="178" t="s">
        <v>225</v>
      </c>
      <c r="S4" s="179" t="s">
        <v>226</v>
      </c>
      <c r="T4" s="172" t="s">
        <v>219</v>
      </c>
      <c r="U4" s="394"/>
      <c r="V4" s="423" t="s">
        <v>645</v>
      </c>
      <c r="W4" s="424"/>
      <c r="X4"/>
      <c r="Y4" s="176" t="s">
        <v>75</v>
      </c>
      <c r="Z4"/>
      <c r="AB4"/>
      <c r="AC4"/>
      <c r="AD4" s="162"/>
    </row>
    <row r="5" spans="1:31" ht="15.75" thickBot="1" x14ac:dyDescent="0.3">
      <c r="A5" s="162" t="s">
        <v>27</v>
      </c>
      <c r="B5" s="172" t="s">
        <v>15</v>
      </c>
      <c r="C5" s="172" t="s">
        <v>180</v>
      </c>
      <c r="E5" s="498" t="s">
        <v>58</v>
      </c>
      <c r="F5" s="172" t="s">
        <v>229</v>
      </c>
      <c r="G5" s="172" t="s">
        <v>85</v>
      </c>
      <c r="H5" s="172" t="s">
        <v>113</v>
      </c>
      <c r="I5" s="172"/>
      <c r="J5" t="s">
        <v>73</v>
      </c>
      <c r="K5" s="172" t="s">
        <v>101</v>
      </c>
      <c r="L5" s="172" t="s">
        <v>230</v>
      </c>
      <c r="M5" s="172" t="s">
        <v>231</v>
      </c>
      <c r="N5" s="172" t="s">
        <v>107</v>
      </c>
      <c r="O5" s="172"/>
      <c r="P5" s="172" t="s">
        <v>232</v>
      </c>
      <c r="Q5" s="172" t="s">
        <v>233</v>
      </c>
      <c r="R5" s="181" t="s">
        <v>234</v>
      </c>
      <c r="S5" s="179"/>
      <c r="T5" s="172" t="s">
        <v>895</v>
      </c>
      <c r="U5" s="395"/>
      <c r="V5" s="426"/>
      <c r="W5" s="424"/>
      <c r="Y5" s="176" t="s">
        <v>226</v>
      </c>
      <c r="Z5"/>
      <c r="AA5"/>
      <c r="AB5"/>
      <c r="AC5" s="174" t="s">
        <v>228</v>
      </c>
      <c r="AD5"/>
      <c r="AE5"/>
    </row>
    <row r="6" spans="1:31" x14ac:dyDescent="0.25">
      <c r="A6" s="172" t="s">
        <v>30</v>
      </c>
      <c r="B6" s="172" t="s">
        <v>16</v>
      </c>
      <c r="C6" s="172" t="s">
        <v>236</v>
      </c>
      <c r="E6" s="498" t="s">
        <v>55</v>
      </c>
      <c r="F6" s="172" t="s">
        <v>237</v>
      </c>
      <c r="G6" s="172" t="s">
        <v>87</v>
      </c>
      <c r="H6" s="172" t="s">
        <v>117</v>
      </c>
      <c r="I6" s="172"/>
      <c r="J6" t="s">
        <v>76</v>
      </c>
      <c r="K6" s="172" t="s">
        <v>238</v>
      </c>
      <c r="L6" s="172" t="s">
        <v>239</v>
      </c>
      <c r="M6" s="172" t="s">
        <v>240</v>
      </c>
      <c r="N6" s="172" t="s">
        <v>112</v>
      </c>
      <c r="O6" s="172"/>
      <c r="P6" s="172" t="s">
        <v>158</v>
      </c>
      <c r="Q6" s="172"/>
      <c r="R6" s="172"/>
      <c r="S6" s="179"/>
      <c r="T6" s="172" t="s">
        <v>235</v>
      </c>
      <c r="U6"/>
      <c r="W6"/>
      <c r="X6"/>
      <c r="Y6"/>
      <c r="AA6"/>
      <c r="AB6"/>
      <c r="AC6" s="174" t="s">
        <v>228</v>
      </c>
      <c r="AD6"/>
      <c r="AE6"/>
    </row>
    <row r="7" spans="1:31" x14ac:dyDescent="0.25">
      <c r="A7" s="172" t="s">
        <v>33</v>
      </c>
      <c r="B7" s="172" t="s">
        <v>17</v>
      </c>
      <c r="C7" s="172" t="s">
        <v>242</v>
      </c>
      <c r="D7" s="172"/>
      <c r="E7" s="498" t="s">
        <v>62</v>
      </c>
      <c r="G7" s="172" t="s">
        <v>88</v>
      </c>
      <c r="H7" s="184" t="s">
        <v>122</v>
      </c>
      <c r="I7" s="172"/>
      <c r="J7" t="s">
        <v>77</v>
      </c>
      <c r="K7" s="162" t="s">
        <v>243</v>
      </c>
      <c r="L7" s="172" t="s">
        <v>32</v>
      </c>
      <c r="M7" s="172" t="s">
        <v>141</v>
      </c>
      <c r="N7" s="172" t="s">
        <v>244</v>
      </c>
      <c r="O7" s="172"/>
      <c r="P7" s="172" t="s">
        <v>205</v>
      </c>
      <c r="Q7" s="172"/>
      <c r="R7" s="165"/>
      <c r="S7"/>
      <c r="T7" s="172" t="s">
        <v>252</v>
      </c>
      <c r="U7" s="172"/>
      <c r="W7"/>
      <c r="X7" s="361" t="s">
        <v>246</v>
      </c>
      <c r="Y7"/>
      <c r="Z7"/>
      <c r="AA7"/>
      <c r="AB7"/>
      <c r="AC7" s="174" t="s">
        <v>228</v>
      </c>
      <c r="AD7"/>
      <c r="AE7"/>
    </row>
    <row r="8" spans="1:31" x14ac:dyDescent="0.25">
      <c r="A8" s="172" t="s">
        <v>36</v>
      </c>
      <c r="B8" s="172" t="s">
        <v>18</v>
      </c>
      <c r="C8" s="172" t="s">
        <v>183</v>
      </c>
      <c r="D8" s="172"/>
      <c r="E8" s="498" t="s">
        <v>64</v>
      </c>
      <c r="G8" s="172" t="s">
        <v>90</v>
      </c>
      <c r="H8" s="184" t="s">
        <v>126</v>
      </c>
      <c r="I8" s="172"/>
      <c r="J8" s="172"/>
      <c r="K8" s="172" t="s">
        <v>99</v>
      </c>
      <c r="L8" s="172"/>
      <c r="M8" s="172" t="s">
        <v>143</v>
      </c>
      <c r="N8" s="172"/>
      <c r="O8" s="172"/>
      <c r="P8" s="172"/>
      <c r="Q8" s="172"/>
      <c r="R8" s="172"/>
      <c r="S8"/>
      <c r="T8" s="172" t="s">
        <v>188</v>
      </c>
      <c r="U8" s="172"/>
      <c r="V8"/>
      <c r="W8"/>
      <c r="X8" s="361" t="s">
        <v>248</v>
      </c>
      <c r="Y8"/>
      <c r="Z8"/>
      <c r="AA8"/>
      <c r="AB8"/>
      <c r="AC8" s="174" t="s">
        <v>228</v>
      </c>
      <c r="AD8"/>
      <c r="AE8"/>
    </row>
    <row r="9" spans="1:31" x14ac:dyDescent="0.25">
      <c r="A9" s="172" t="s">
        <v>39</v>
      </c>
      <c r="B9" s="172" t="s">
        <v>19</v>
      </c>
      <c r="C9" s="162" t="s">
        <v>184</v>
      </c>
      <c r="D9" s="172"/>
      <c r="E9" s="498" t="s">
        <v>187</v>
      </c>
      <c r="F9" s="172"/>
      <c r="G9" s="172" t="s">
        <v>91</v>
      </c>
      <c r="H9" s="172" t="s">
        <v>130</v>
      </c>
      <c r="I9" s="172"/>
      <c r="J9" s="172"/>
      <c r="K9" s="172" t="s">
        <v>249</v>
      </c>
      <c r="L9" s="172"/>
      <c r="M9" s="172" t="s">
        <v>250</v>
      </c>
      <c r="N9" s="172"/>
      <c r="O9" s="172"/>
      <c r="P9" s="172"/>
      <c r="Q9" s="172"/>
      <c r="R9" s="172"/>
      <c r="S9"/>
      <c r="T9" s="172" t="s">
        <v>189</v>
      </c>
      <c r="U9" s="172"/>
      <c r="V9"/>
      <c r="W9"/>
      <c r="X9"/>
      <c r="Y9"/>
      <c r="Z9"/>
      <c r="AA9"/>
      <c r="AB9"/>
      <c r="AC9" s="174" t="s">
        <v>228</v>
      </c>
      <c r="AD9"/>
      <c r="AE9"/>
    </row>
    <row r="10" spans="1:31" x14ac:dyDescent="0.25">
      <c r="A10" s="172" t="s">
        <v>41</v>
      </c>
      <c r="B10" s="172" t="s">
        <v>20</v>
      </c>
      <c r="C10" s="162" t="s">
        <v>185</v>
      </c>
      <c r="D10" s="179"/>
      <c r="E10" s="498"/>
      <c r="F10" s="172"/>
      <c r="G10" s="172" t="s">
        <v>92</v>
      </c>
      <c r="H10" s="172" t="s">
        <v>132</v>
      </c>
      <c r="I10" s="172"/>
      <c r="J10" s="172"/>
      <c r="K10" s="397" t="s">
        <v>178</v>
      </c>
      <c r="L10" s="172"/>
      <c r="M10" s="172" t="s">
        <v>145</v>
      </c>
      <c r="N10" s="172"/>
      <c r="O10" s="172"/>
      <c r="P10" s="172"/>
      <c r="Q10" s="172"/>
      <c r="R10" s="172"/>
      <c r="S10"/>
      <c r="T10" s="172" t="s">
        <v>190</v>
      </c>
      <c r="U10" s="172"/>
      <c r="V10"/>
      <c r="W10"/>
      <c r="X10"/>
      <c r="Y10"/>
      <c r="Z10"/>
      <c r="AA10"/>
      <c r="AB10"/>
      <c r="AC10" s="174" t="s">
        <v>228</v>
      </c>
      <c r="AD10"/>
      <c r="AE10"/>
    </row>
    <row r="11" spans="1:31" x14ac:dyDescent="0.25">
      <c r="A11" s="172" t="s">
        <v>43</v>
      </c>
      <c r="B11" s="172" t="s">
        <v>21</v>
      </c>
      <c r="D11" s="179"/>
      <c r="E11" s="498"/>
      <c r="F11" s="172"/>
      <c r="G11" s="172" t="s">
        <v>93</v>
      </c>
      <c r="H11" s="172" t="s">
        <v>134</v>
      </c>
      <c r="I11" s="172"/>
      <c r="J11" s="177"/>
      <c r="L11" s="172"/>
      <c r="M11" s="172" t="s">
        <v>148</v>
      </c>
      <c r="N11" s="172"/>
      <c r="O11" s="172"/>
      <c r="P11" s="172"/>
      <c r="Q11" s="172"/>
      <c r="R11" s="172"/>
      <c r="S11" s="179"/>
      <c r="T11" s="172" t="s">
        <v>241</v>
      </c>
      <c r="U11" s="172"/>
      <c r="V11"/>
      <c r="W11"/>
      <c r="X11"/>
      <c r="Y11"/>
      <c r="Z11"/>
      <c r="AA11"/>
      <c r="AB11"/>
      <c r="AD11"/>
      <c r="AE11"/>
    </row>
    <row r="12" spans="1:31" x14ac:dyDescent="0.25">
      <c r="A12" s="172" t="s">
        <v>45</v>
      </c>
      <c r="B12" s="172"/>
      <c r="C12" s="172"/>
      <c r="D12" s="179"/>
      <c r="E12" s="498"/>
      <c r="G12" s="172" t="s">
        <v>94</v>
      </c>
      <c r="H12" s="172" t="s">
        <v>137</v>
      </c>
      <c r="I12" s="172"/>
      <c r="J12" s="177"/>
      <c r="L12" s="172"/>
      <c r="M12" s="172" t="s">
        <v>253</v>
      </c>
      <c r="N12" s="172"/>
      <c r="O12" s="172"/>
      <c r="P12" s="172"/>
      <c r="Q12" s="172"/>
      <c r="R12" s="172"/>
      <c r="S12" s="179"/>
      <c r="T12" s="172" t="s">
        <v>245</v>
      </c>
      <c r="U12" s="172"/>
      <c r="V12"/>
      <c r="W12"/>
      <c r="X12"/>
      <c r="Y12"/>
      <c r="Z12"/>
      <c r="AA12"/>
      <c r="AB12"/>
      <c r="AC12" s="174" t="s">
        <v>228</v>
      </c>
      <c r="AD12"/>
    </row>
    <row r="13" spans="1:31" x14ac:dyDescent="0.25">
      <c r="B13" s="172"/>
      <c r="C13" s="172" t="s">
        <v>31</v>
      </c>
      <c r="D13" s="172" t="s">
        <v>34</v>
      </c>
      <c r="E13" s="498" t="s">
        <v>37</v>
      </c>
      <c r="G13" s="172"/>
      <c r="H13" s="162" t="s">
        <v>139</v>
      </c>
      <c r="I13" s="172"/>
      <c r="J13" s="186" t="s">
        <v>254</v>
      </c>
      <c r="K13" s="172"/>
      <c r="L13" s="172"/>
      <c r="M13" s="172" t="s">
        <v>151</v>
      </c>
      <c r="N13" s="172"/>
      <c r="O13" s="172"/>
      <c r="P13" s="172"/>
      <c r="Q13" s="172"/>
      <c r="R13" s="172"/>
      <c r="S13" s="179"/>
      <c r="T13" s="172" t="s">
        <v>251</v>
      </c>
      <c r="U13"/>
      <c r="V13"/>
      <c r="W13"/>
      <c r="X13"/>
      <c r="Y13"/>
      <c r="Z13"/>
      <c r="AA13"/>
      <c r="AB13"/>
      <c r="AC13" s="174" t="s">
        <v>228</v>
      </c>
    </row>
    <row r="14" spans="1:31" x14ac:dyDescent="0.25">
      <c r="C14" s="172" t="s">
        <v>32</v>
      </c>
      <c r="D14" s="172" t="s">
        <v>32</v>
      </c>
      <c r="E14" s="498" t="s">
        <v>32</v>
      </c>
      <c r="G14" s="165" t="s">
        <v>255</v>
      </c>
      <c r="H14" s="162" t="s">
        <v>142</v>
      </c>
      <c r="R14" s="187"/>
      <c r="S14" s="187"/>
      <c r="T14" s="172" t="s">
        <v>192</v>
      </c>
      <c r="U14" s="187"/>
      <c r="V14" s="187"/>
      <c r="W14" s="187"/>
      <c r="X14" s="187"/>
      <c r="Y14" s="187"/>
      <c r="Z14" s="187"/>
      <c r="AA14" s="187"/>
      <c r="AB14" s="187"/>
    </row>
    <row r="15" spans="1:31" x14ac:dyDescent="0.25">
      <c r="C15" s="162" t="s">
        <v>256</v>
      </c>
      <c r="D15" s="162" t="s">
        <v>35</v>
      </c>
      <c r="E15" s="189" t="s">
        <v>172</v>
      </c>
      <c r="G15" s="162" t="s">
        <v>32</v>
      </c>
      <c r="J15" s="189" t="s">
        <v>257</v>
      </c>
      <c r="R15" s="187"/>
      <c r="S15" s="187"/>
      <c r="T15" s="172" t="s">
        <v>247</v>
      </c>
      <c r="U15" s="187"/>
      <c r="V15" s="187"/>
      <c r="W15" s="187"/>
      <c r="X15" s="187"/>
      <c r="Y15" s="187"/>
      <c r="Z15" s="187"/>
      <c r="AA15" s="187"/>
      <c r="AB15" s="187"/>
    </row>
    <row r="16" spans="1:31" x14ac:dyDescent="0.25">
      <c r="A16" s="181" t="s">
        <v>258</v>
      </c>
      <c r="C16" s="162" t="s">
        <v>259</v>
      </c>
      <c r="D16" s="162" t="s">
        <v>167</v>
      </c>
      <c r="E16" s="189" t="s">
        <v>173</v>
      </c>
      <c r="G16" s="188" t="s">
        <v>68</v>
      </c>
      <c r="J16" s="189" t="s">
        <v>260</v>
      </c>
      <c r="R16" s="187"/>
      <c r="S16" s="187"/>
      <c r="T16" s="172" t="s">
        <v>193</v>
      </c>
      <c r="U16" s="187"/>
      <c r="V16" s="187"/>
      <c r="W16" s="187"/>
      <c r="X16" s="187"/>
      <c r="Y16" s="187"/>
      <c r="Z16" s="187"/>
      <c r="AA16" s="187"/>
      <c r="AB16" s="187"/>
    </row>
    <row r="17" spans="1:29" x14ac:dyDescent="0.25">
      <c r="A17" s="190" t="s">
        <v>261</v>
      </c>
      <c r="C17" s="162" t="s">
        <v>262</v>
      </c>
      <c r="D17" s="162" t="s">
        <v>263</v>
      </c>
      <c r="E17" s="189" t="s">
        <v>174</v>
      </c>
      <c r="G17" s="188" t="s">
        <v>226</v>
      </c>
      <c r="H17" s="185" t="s">
        <v>264</v>
      </c>
      <c r="R17" s="187"/>
      <c r="S17" s="187"/>
      <c r="T17" s="172" t="s">
        <v>194</v>
      </c>
      <c r="U17" s="187"/>
      <c r="V17" s="187"/>
      <c r="W17" s="187"/>
      <c r="X17" s="187"/>
      <c r="Y17" s="187"/>
      <c r="Z17" s="187"/>
      <c r="AA17" s="187"/>
      <c r="AB17" s="187"/>
    </row>
    <row r="18" spans="1:29" x14ac:dyDescent="0.25">
      <c r="C18" s="162" t="s">
        <v>265</v>
      </c>
      <c r="D18" s="162" t="s">
        <v>169</v>
      </c>
      <c r="E18" s="189" t="s">
        <v>175</v>
      </c>
      <c r="R18" s="187"/>
      <c r="S18" s="187"/>
      <c r="T18" s="187"/>
      <c r="U18" s="187"/>
      <c r="V18" s="187"/>
      <c r="W18" s="187"/>
      <c r="X18" s="187"/>
      <c r="Y18" s="187"/>
      <c r="Z18" s="187"/>
      <c r="AA18" s="187"/>
      <c r="AB18" s="187"/>
    </row>
    <row r="19" spans="1:29" x14ac:dyDescent="0.25">
      <c r="D19" s="162" t="s">
        <v>170</v>
      </c>
      <c r="E19" s="189" t="s">
        <v>38</v>
      </c>
      <c r="H19" s="188" t="s">
        <v>68</v>
      </c>
      <c r="R19" s="187"/>
      <c r="S19" s="187"/>
      <c r="T19" s="187"/>
      <c r="U19" s="187"/>
      <c r="V19" s="187"/>
      <c r="W19" s="187"/>
      <c r="X19" s="187"/>
      <c r="Y19" s="187"/>
      <c r="Z19" s="187"/>
      <c r="AA19" s="187"/>
      <c r="AB19" s="187"/>
    </row>
    <row r="20" spans="1:29" x14ac:dyDescent="0.25">
      <c r="D20" s="162" t="s">
        <v>171</v>
      </c>
      <c r="H20" s="188" t="s">
        <v>226</v>
      </c>
      <c r="R20" s="187"/>
      <c r="S20" s="187"/>
      <c r="T20" s="187"/>
      <c r="U20" s="187"/>
      <c r="V20" s="187"/>
      <c r="W20" s="187"/>
      <c r="X20" s="187"/>
      <c r="Y20" s="187"/>
      <c r="Z20" s="187"/>
      <c r="AA20" s="187"/>
      <c r="AB20" s="187"/>
    </row>
    <row r="21" spans="1:29" x14ac:dyDescent="0.25">
      <c r="R21" s="187"/>
      <c r="S21" s="187"/>
      <c r="T21" s="187"/>
      <c r="U21" s="187"/>
      <c r="V21" s="187"/>
      <c r="W21" s="187"/>
      <c r="X21" s="187"/>
      <c r="Y21" s="187"/>
      <c r="Z21" s="187"/>
      <c r="AA21" s="187"/>
      <c r="AB21" s="187"/>
    </row>
    <row r="22" spans="1:29" x14ac:dyDescent="0.25">
      <c r="E22" s="499"/>
      <c r="F22"/>
      <c r="G22"/>
      <c r="I22"/>
      <c r="J22"/>
      <c r="S22"/>
      <c r="U22"/>
      <c r="V22"/>
      <c r="W22"/>
      <c r="X22"/>
      <c r="Y22"/>
      <c r="Z22"/>
      <c r="AA22"/>
      <c r="AB22"/>
      <c r="AC22" s="174" t="s">
        <v>228</v>
      </c>
    </row>
    <row r="23" spans="1:29" x14ac:dyDescent="0.25">
      <c r="E23" s="499"/>
      <c r="F23"/>
      <c r="G23"/>
      <c r="J23"/>
      <c r="S23"/>
      <c r="U23"/>
      <c r="V23"/>
      <c r="W23"/>
      <c r="X23"/>
      <c r="Y23"/>
      <c r="Z23"/>
      <c r="AA23"/>
      <c r="AB23"/>
      <c r="AC23" s="174" t="s">
        <v>228</v>
      </c>
    </row>
    <row r="24" spans="1:29" x14ac:dyDescent="0.25">
      <c r="E24" s="499"/>
      <c r="F24"/>
      <c r="G24"/>
      <c r="J24"/>
      <c r="S24"/>
      <c r="U24"/>
      <c r="V24"/>
      <c r="W24"/>
      <c r="X24"/>
      <c r="Y24"/>
      <c r="Z24"/>
      <c r="AA24"/>
      <c r="AB24"/>
      <c r="AC24" s="174" t="s">
        <v>228</v>
      </c>
    </row>
    <row r="25" spans="1:29" x14ac:dyDescent="0.25">
      <c r="E25" s="499"/>
      <c r="F25"/>
      <c r="G25"/>
      <c r="J25"/>
      <c r="P25"/>
      <c r="S25"/>
      <c r="U25"/>
      <c r="V25"/>
      <c r="W25"/>
      <c r="X25"/>
      <c r="Y25"/>
      <c r="Z25"/>
      <c r="AA25"/>
      <c r="AB25"/>
      <c r="AC25" s="174" t="s">
        <v>228</v>
      </c>
    </row>
    <row r="26" spans="1:29" x14ac:dyDescent="0.25">
      <c r="E26" s="499"/>
      <c r="F26"/>
      <c r="G26"/>
      <c r="J26"/>
      <c r="S26"/>
      <c r="U26"/>
      <c r="V26"/>
      <c r="W26"/>
      <c r="X26"/>
      <c r="Y26"/>
      <c r="Z26"/>
      <c r="AA26"/>
      <c r="AB26"/>
      <c r="AC26" s="174" t="s">
        <v>228</v>
      </c>
    </row>
    <row r="27" spans="1:29" x14ac:dyDescent="0.25">
      <c r="E27" s="499"/>
      <c r="F27"/>
      <c r="G27"/>
      <c r="I27" s="190"/>
      <c r="S27"/>
      <c r="U27"/>
      <c r="V27"/>
      <c r="W27"/>
      <c r="X27"/>
      <c r="Y27"/>
      <c r="Z27"/>
      <c r="AA27"/>
      <c r="AB27"/>
      <c r="AC27" s="174" t="s">
        <v>228</v>
      </c>
    </row>
    <row r="28" spans="1:29" x14ac:dyDescent="0.25">
      <c r="E28" s="499"/>
      <c r="F28"/>
      <c r="G28"/>
      <c r="H28"/>
      <c r="S28"/>
      <c r="U28"/>
      <c r="V28"/>
      <c r="W28"/>
      <c r="X28"/>
      <c r="Y28"/>
      <c r="Z28"/>
      <c r="AA28"/>
      <c r="AB28"/>
      <c r="AC28" s="174" t="s">
        <v>228</v>
      </c>
    </row>
    <row r="29" spans="1:29" x14ac:dyDescent="0.25">
      <c r="A29" s="165" t="s">
        <v>266</v>
      </c>
      <c r="B29" s="172"/>
      <c r="F29"/>
      <c r="G29"/>
      <c r="H29"/>
      <c r="S29"/>
      <c r="U29"/>
      <c r="V29"/>
      <c r="W29"/>
      <c r="X29"/>
      <c r="Y29"/>
      <c r="Z29"/>
      <c r="AA29"/>
      <c r="AB29"/>
      <c r="AC29" s="174" t="s">
        <v>228</v>
      </c>
    </row>
    <row r="30" spans="1:29" x14ac:dyDescent="0.25">
      <c r="A30" s="172" t="s">
        <v>267</v>
      </c>
      <c r="B30" s="172" t="b" cm="1">
        <f t="array" ref="B30">IF(AND(OR(DSCR!S11='Feed(DSCR)'!B8:B11),OR(DSCR!S13=C8:C10)),TRUE,FALSE)</f>
        <v>0</v>
      </c>
      <c r="F30"/>
      <c r="G30"/>
      <c r="H30"/>
      <c r="S30"/>
      <c r="U30"/>
      <c r="V30"/>
      <c r="W30"/>
      <c r="X30"/>
      <c r="Y30"/>
      <c r="Z30"/>
      <c r="AA30"/>
      <c r="AB30"/>
      <c r="AC30" s="174" t="s">
        <v>228</v>
      </c>
    </row>
    <row r="31" spans="1:29" x14ac:dyDescent="0.25">
      <c r="A31" s="172"/>
      <c r="B31" s="172"/>
      <c r="S31"/>
      <c r="U31"/>
      <c r="V31"/>
      <c r="W31"/>
      <c r="X31"/>
      <c r="Y31"/>
      <c r="Z31"/>
      <c r="AA31"/>
      <c r="AB31"/>
      <c r="AC31" s="174" t="s">
        <v>228</v>
      </c>
    </row>
    <row r="32" spans="1:29" x14ac:dyDescent="0.25">
      <c r="A32" s="172"/>
      <c r="B32" s="172"/>
      <c r="S32"/>
      <c r="U32"/>
      <c r="V32"/>
      <c r="W32"/>
      <c r="X32"/>
      <c r="Y32"/>
      <c r="Z32"/>
      <c r="AA32"/>
      <c r="AB32"/>
      <c r="AC32" s="174" t="s">
        <v>228</v>
      </c>
    </row>
    <row r="33" spans="1:42" x14ac:dyDescent="0.25">
      <c r="A33"/>
      <c r="B33"/>
      <c r="N33" s="191"/>
      <c r="S33"/>
      <c r="U33"/>
      <c r="V33"/>
      <c r="W33"/>
      <c r="X33"/>
      <c r="Y33"/>
      <c r="Z33"/>
      <c r="AA33"/>
      <c r="AB33"/>
      <c r="AC33" s="174" t="s">
        <v>228</v>
      </c>
    </row>
    <row r="34" spans="1:42" x14ac:dyDescent="0.25">
      <c r="A34"/>
      <c r="B34"/>
      <c r="N34" s="191"/>
      <c r="S34"/>
      <c r="U34"/>
      <c r="V34"/>
      <c r="W34"/>
      <c r="X34"/>
      <c r="Y34"/>
      <c r="Z34"/>
      <c r="AA34"/>
      <c r="AB34"/>
      <c r="AC34" s="174" t="s">
        <v>228</v>
      </c>
    </row>
    <row r="35" spans="1:42" x14ac:dyDescent="0.25">
      <c r="O35"/>
      <c r="P35"/>
      <c r="Q35"/>
      <c r="R35"/>
      <c r="S35"/>
      <c r="T35"/>
      <c r="U35"/>
      <c r="V35"/>
      <c r="W35"/>
      <c r="X35"/>
      <c r="Y35"/>
      <c r="Z35"/>
      <c r="AA35"/>
      <c r="AB35"/>
      <c r="AC35" s="174" t="s">
        <v>228</v>
      </c>
    </row>
    <row r="36" spans="1:42" x14ac:dyDescent="0.25">
      <c r="L36"/>
      <c r="O36"/>
      <c r="P36"/>
      <c r="Q36"/>
      <c r="R36"/>
      <c r="S36"/>
      <c r="T36"/>
      <c r="U36" s="396" t="s">
        <v>268</v>
      </c>
      <c r="V36" s="400"/>
      <c r="W36" s="400"/>
      <c r="X36"/>
      <c r="Y36" s="396" t="s">
        <v>269</v>
      </c>
      <c r="Z36" s="400"/>
      <c r="AA36" s="400"/>
      <c r="AB36"/>
    </row>
    <row r="37" spans="1:42" ht="15.75" thickBot="1" x14ac:dyDescent="0.3">
      <c r="F37" s="396" t="s">
        <v>270</v>
      </c>
      <c r="G37" s="397"/>
      <c r="H37" s="397"/>
      <c r="L37" s="192" t="s">
        <v>271</v>
      </c>
      <c r="O37"/>
      <c r="P37"/>
      <c r="Q37" s="403" t="s">
        <v>272</v>
      </c>
      <c r="R37" s="404"/>
      <c r="S37" s="404"/>
      <c r="T37"/>
      <c r="U37" s="397" t="s">
        <v>273</v>
      </c>
      <c r="V37" s="397"/>
      <c r="W37" s="397" t="s">
        <v>274</v>
      </c>
      <c r="Y37" s="397" t="s">
        <v>273</v>
      </c>
      <c r="Z37" s="397"/>
      <c r="AA37" s="397" t="s">
        <v>275</v>
      </c>
      <c r="AG37" s="605" t="s">
        <v>276</v>
      </c>
      <c r="AH37" s="604"/>
      <c r="AI37" s="604"/>
      <c r="AJ37"/>
      <c r="AK37" s="605" t="s">
        <v>277</v>
      </c>
      <c r="AL37" s="604"/>
      <c r="AM37" s="604"/>
      <c r="AN37"/>
      <c r="AO37" s="174" t="s">
        <v>228</v>
      </c>
      <c r="AP37" s="174"/>
    </row>
    <row r="38" spans="1:42" x14ac:dyDescent="0.25">
      <c r="A38" s="193" t="s">
        <v>278</v>
      </c>
      <c r="C38" s="172"/>
      <c r="D38" s="172"/>
      <c r="F38" s="397" t="s">
        <v>279</v>
      </c>
      <c r="G38" s="397"/>
      <c r="H38" s="397" t="s">
        <v>280</v>
      </c>
      <c r="L38" s="162" t="s">
        <v>281</v>
      </c>
      <c r="M38" s="223" t="str" cm="1">
        <f t="array" ref="M38">IF(AND(OR(DSCR!S24=K4:K5),DSCR!S13=C7,OR(DSCR!S11=B10:B11)),NA(),"")</f>
        <v/>
      </c>
      <c r="N38" s="162" t="s">
        <v>282</v>
      </c>
      <c r="O38"/>
      <c r="P38"/>
      <c r="Q38" s="405" t="s">
        <v>283</v>
      </c>
      <c r="R38" s="405"/>
      <c r="S38" s="405" t="s">
        <v>284</v>
      </c>
      <c r="T38"/>
      <c r="U38" s="397" t="s">
        <v>273</v>
      </c>
      <c r="V38" s="397"/>
      <c r="W38" s="397" t="s">
        <v>285</v>
      </c>
      <c r="Y38" s="397" t="s">
        <v>273</v>
      </c>
      <c r="Z38" s="397"/>
      <c r="AA38" s="397" t="s">
        <v>286</v>
      </c>
      <c r="AG38" s="361" t="s">
        <v>287</v>
      </c>
      <c r="AH38" s="361"/>
      <c r="AI38" s="361" t="s">
        <v>288</v>
      </c>
      <c r="AJ38"/>
      <c r="AK38" t="s">
        <v>289</v>
      </c>
      <c r="AL38" s="361" t="str">
        <f>IF(AND(ISNUMBER(MATCH(DSCR!$S$12, $A$10:$A$12, 0)),ISNUMBER(MATCH(DSCR!$S$11, $B$8:$B$11, 0)),ISNUMBER(MATCH(DSCR!$S$20, $G$4:$G$5, 0)),ISNUMBER(MATCH(DSCR!$S$13, $C$6:$C$7, 0)),ISNUMBER(MATCH(DSCR!$S$21,$J$7,0))),NA(),"")</f>
        <v/>
      </c>
      <c r="AM38" t="s">
        <v>290</v>
      </c>
      <c r="AN38"/>
      <c r="AO38" s="174" t="s">
        <v>228</v>
      </c>
      <c r="AP38" s="174"/>
    </row>
    <row r="39" spans="1:42" x14ac:dyDescent="0.25">
      <c r="A39" s="390" t="s">
        <v>158</v>
      </c>
      <c r="B39" s="390"/>
      <c r="C39" s="401" t="s">
        <v>291</v>
      </c>
      <c r="D39" s="172"/>
      <c r="F39" s="397" t="s">
        <v>292</v>
      </c>
      <c r="G39" s="397"/>
      <c r="H39" s="397" t="s">
        <v>293</v>
      </c>
      <c r="L39" s="162" t="s">
        <v>281</v>
      </c>
      <c r="M39" s="223" t="str" cm="1">
        <f t="array" ref="M39">IF(AND(OR(DSCR!S24=K4:K5),DSCR!S13=C7,OR(DSCR!S11=B9:B11),OR(DSCR!S21=J6:J7)),NA(),"")</f>
        <v/>
      </c>
      <c r="N39" s="162" t="s">
        <v>294</v>
      </c>
      <c r="O39"/>
      <c r="P39"/>
      <c r="Q39" s="405" t="s">
        <v>295</v>
      </c>
      <c r="R39" s="405"/>
      <c r="S39" s="405" t="s">
        <v>296</v>
      </c>
      <c r="T39"/>
      <c r="U39" s="397" t="s">
        <v>273</v>
      </c>
      <c r="V39" s="397"/>
      <c r="W39" s="397" t="s">
        <v>297</v>
      </c>
      <c r="Y39" s="397" t="s">
        <v>273</v>
      </c>
      <c r="Z39" s="397"/>
      <c r="AA39" s="397" t="s">
        <v>298</v>
      </c>
      <c r="AG39" s="361"/>
      <c r="AH39" s="361" t="str">
        <f>IF(AND(
   ISNUMBER(MATCH(DSCR!$S$13, $C$3:$C$9, 0)),
   DSCR!$S$29 = $T$15
), NA(), "")</f>
        <v/>
      </c>
      <c r="AI39" s="361" t="s">
        <v>299</v>
      </c>
      <c r="AJ39"/>
      <c r="AK39" t="s">
        <v>300</v>
      </c>
      <c r="AL39" s="361" t="str">
        <f>IF(AND(ISNUMBER(MATCH(DSCR!$S$12, $A$11:$A$12, 0)),ISNUMBER(MATCH(DSCR!$S$11, $B$7:$B$11, 0)),ISNUMBER(MATCH(DSCR!$S$21, $J$6:$J$7, 0)),ISNUMBER(MATCH(DSCR!$S$13, $C$6:$C$7, 0)),ISNUMBER(MATCH(DSCR!$S$20,$G$5,0))), NA(), "")</f>
        <v/>
      </c>
      <c r="AM39" t="s">
        <v>301</v>
      </c>
      <c r="AN39"/>
      <c r="AO39" s="174" t="s">
        <v>228</v>
      </c>
      <c r="AP39" s="174"/>
    </row>
    <row r="40" spans="1:42" x14ac:dyDescent="0.25">
      <c r="A40" s="390" t="s">
        <v>158</v>
      </c>
      <c r="B40" s="390"/>
      <c r="C40" s="401" t="s">
        <v>302</v>
      </c>
      <c r="D40" s="172"/>
      <c r="F40" s="397" t="s">
        <v>50</v>
      </c>
      <c r="G40" s="397"/>
      <c r="H40" s="397" t="s">
        <v>303</v>
      </c>
      <c r="L40" s="172" t="s">
        <v>177</v>
      </c>
      <c r="M40" s="223" t="str" cm="1">
        <f t="array" ref="M40">IF(AND(OR(DSCR!S12='Feed(DSCR)'!A3:A12),DSCR!S17='Feed(DSCR)'!D3,OR(DSCR!S11='Feed(DSCR)'!B9:B11),OR(DSCR!S21='Feed(DSCR)'!J6:J7)),NA(),"")</f>
        <v/>
      </c>
      <c r="N40" s="162" t="s">
        <v>304</v>
      </c>
      <c r="Q40" s="405" t="s">
        <v>295</v>
      </c>
      <c r="R40" s="405"/>
      <c r="S40" s="405" t="s">
        <v>305</v>
      </c>
      <c r="U40" s="397" t="s">
        <v>273</v>
      </c>
      <c r="V40" s="397"/>
      <c r="W40" s="397" t="s">
        <v>306</v>
      </c>
      <c r="Y40" s="397" t="s">
        <v>273</v>
      </c>
      <c r="Z40" s="397"/>
      <c r="AA40" s="397" t="s">
        <v>306</v>
      </c>
      <c r="AG40"/>
      <c r="AH40"/>
      <c r="AI40"/>
      <c r="AJ40"/>
      <c r="AK40" t="s">
        <v>935</v>
      </c>
      <c r="AL40" s="361" t="str">
        <f>IF(AND(ISNUMBER(MATCH(DSCR!$S$12, $A$7:$A$12, 0)),ISNUMBER(MATCH(DSCR!$S$11, $B$9:$B$11, 0)),ISNUMBER(MATCH(DSCR!$S$21, $J$5:$J$7, 0)),ISNUMBER(MATCH(DSCR!$S$13, $C$6:$C$7, 0)),ISNUMBER(MATCH(DSCR!$S$20,$G$5:$G$12,0))), NA(), "")</f>
        <v/>
      </c>
      <c r="AM40" t="s">
        <v>936</v>
      </c>
      <c r="AN40"/>
      <c r="AO40" s="174" t="s">
        <v>228</v>
      </c>
      <c r="AP40" s="174"/>
    </row>
    <row r="41" spans="1:42" x14ac:dyDescent="0.25">
      <c r="A41" s="390" t="s">
        <v>158</v>
      </c>
      <c r="B41" s="390"/>
      <c r="C41" s="401" t="s">
        <v>307</v>
      </c>
      <c r="D41" s="172"/>
      <c r="F41" s="397" t="s">
        <v>50</v>
      </c>
      <c r="G41" s="397"/>
      <c r="H41" s="397" t="s">
        <v>308</v>
      </c>
      <c r="J41" s="172"/>
      <c r="K41" s="172"/>
      <c r="L41" s="172" t="s">
        <v>309</v>
      </c>
      <c r="M41" s="223" t="str" cm="1">
        <f t="array" ref="M41">IF(AND(OR(DSCR!S13='Feed(DSCR)'!C5),OR(DSCR!S24='Feed(DSCR)'!K4:K5,DSCR!S24='Feed(DSCR)'!K8)),NA(),"")</f>
        <v/>
      </c>
      <c r="N41" s="162" t="s">
        <v>310</v>
      </c>
      <c r="O41" s="172"/>
      <c r="P41" s="172"/>
      <c r="Q41" s="405" t="s">
        <v>311</v>
      </c>
      <c r="R41" s="405"/>
      <c r="S41" s="405" t="s">
        <v>312</v>
      </c>
      <c r="U41" s="397" t="s">
        <v>273</v>
      </c>
      <c r="V41" s="397"/>
      <c r="W41" s="397" t="s">
        <v>313</v>
      </c>
      <c r="Y41" s="397" t="s">
        <v>273</v>
      </c>
      <c r="Z41" s="397"/>
      <c r="AA41" s="397" t="s">
        <v>313</v>
      </c>
      <c r="AG41"/>
      <c r="AH41"/>
      <c r="AI41"/>
      <c r="AJ41"/>
      <c r="AK41" t="s">
        <v>923</v>
      </c>
      <c r="AL41" s="361" t="str">
        <f>IF(AND(ISNUMBER(MATCH(DSCR!$S$12,$A$3:$A$5,0)),ISNUMBER(MATCH(DSCR!$S$11,$B$9:$B$11,0)),ISNUMBER(MATCH(DSCR!$S$21,$J$5,0)),ISNUMBER(MATCH(DSCR!$S$13,$C$6:$C$7,0)),ISNUMBER(MATCH(DSCR!$S$20,$G$8,0))),NA(),"")</f>
        <v/>
      </c>
      <c r="AM41" t="s">
        <v>924</v>
      </c>
      <c r="AN41"/>
      <c r="AO41" s="174" t="s">
        <v>228</v>
      </c>
      <c r="AP41" s="174"/>
    </row>
    <row r="42" spans="1:42" x14ac:dyDescent="0.25">
      <c r="A42" s="390" t="s">
        <v>158</v>
      </c>
      <c r="B42" s="390"/>
      <c r="C42" s="401" t="s">
        <v>314</v>
      </c>
      <c r="D42" s="172"/>
      <c r="F42" s="397" t="s">
        <v>50</v>
      </c>
      <c r="G42" s="397"/>
      <c r="H42" s="397" t="s">
        <v>315</v>
      </c>
      <c r="J42" s="172"/>
      <c r="K42" s="172"/>
      <c r="L42" s="172" t="s">
        <v>177</v>
      </c>
      <c r="M42" s="223" t="str" cm="1">
        <f t="array" ref="M42">IF(AND(OR(DSCR!S13='Feed(DSCR)'!C8),DSCR!S17='Feed(DSCR)'!D3,OR(DSCR!S12='Feed(DSCR)'!A11:A12)),NA(),"")</f>
        <v/>
      </c>
      <c r="N42" s="162" t="s">
        <v>316</v>
      </c>
      <c r="O42" s="172"/>
      <c r="P42" s="172"/>
      <c r="Q42" s="405" t="s">
        <v>283</v>
      </c>
      <c r="R42" s="405"/>
      <c r="S42" s="405" t="s">
        <v>317</v>
      </c>
      <c r="U42" s="397" t="s">
        <v>273</v>
      </c>
      <c r="V42" s="397"/>
      <c r="W42" s="397" t="s">
        <v>318</v>
      </c>
      <c r="Y42" s="397" t="s">
        <v>273</v>
      </c>
      <c r="Z42" s="397"/>
      <c r="AA42" s="397" t="s">
        <v>318</v>
      </c>
      <c r="AI42" s="174"/>
      <c r="AJ42" s="174"/>
      <c r="AK42" t="s">
        <v>923</v>
      </c>
      <c r="AL42" s="361" t="str">
        <f>IF(AND(ISNUMBER(MATCH(DSCR!$S$12,$A$3:$A$5,0)),ISNUMBER(MATCH(DSCR!$S$11,$B$9:$B$11,0)),ISNUMBER(MATCH(DSCR!$S$21,$J$5,0)),ISNUMBER(MATCH(DSCR!$S$13,$C$6:$C$7,0)),ISNUMBER(MATCH(DSCR!$S$20,$G$9,0))),NA(),"")</f>
        <v/>
      </c>
      <c r="AM42" t="s">
        <v>925</v>
      </c>
      <c r="AN42" s="174"/>
      <c r="AO42" s="193"/>
      <c r="AP42" s="174"/>
    </row>
    <row r="43" spans="1:42" x14ac:dyDescent="0.25">
      <c r="A43" s="390" t="s">
        <v>321</v>
      </c>
      <c r="B43" s="390"/>
      <c r="C43" s="401" t="s">
        <v>322</v>
      </c>
      <c r="D43" s="172"/>
      <c r="F43" s="397" t="s">
        <v>281</v>
      </c>
      <c r="G43" s="397"/>
      <c r="H43" s="397" t="s">
        <v>323</v>
      </c>
      <c r="J43" s="172"/>
      <c r="K43" s="172"/>
      <c r="L43" s="172" t="s">
        <v>309</v>
      </c>
      <c r="M43" s="223" t="str">
        <f>IF(AND(OR(DSCR!S13='Feed(DSCR)'!C5),OR(DSCR!S18='Feed(DSCR)'!E9)),NA(),"")</f>
        <v/>
      </c>
      <c r="N43" s="162" t="s">
        <v>324</v>
      </c>
      <c r="O43" s="172"/>
      <c r="P43" s="172"/>
      <c r="Q43" s="405" t="s">
        <v>283</v>
      </c>
      <c r="R43" s="405"/>
      <c r="S43" s="405" t="s">
        <v>325</v>
      </c>
      <c r="U43" s="397" t="s">
        <v>273</v>
      </c>
      <c r="V43" s="397"/>
      <c r="W43" s="397" t="s">
        <v>326</v>
      </c>
      <c r="Y43" s="397" t="s">
        <v>273</v>
      </c>
      <c r="Z43" s="397"/>
      <c r="AA43" s="397" t="s">
        <v>326</v>
      </c>
      <c r="AG43" s="223" t="s">
        <v>327</v>
      </c>
      <c r="AH43" s="223" t="str" cm="1">
        <f t="array" ref="AH43">IF(AND(OR(DSCR!S23=L5:L6),(DSCR!S27=H3),OR(DSCR!S29='Feed(DSCR)'!T3)),NA(),"")</f>
        <v/>
      </c>
      <c r="AI43" s="224" t="s">
        <v>320</v>
      </c>
      <c r="AJ43" s="174"/>
      <c r="AK43" t="s">
        <v>923</v>
      </c>
      <c r="AL43" s="361" t="str">
        <f>IF(AND(ISNUMBER(MATCH(DSCR!$S$12,$A$3:$A$5,0)),ISNUMBER(MATCH(DSCR!$S$11,$B$8:$B$11,0)),ISNUMBER(MATCH(DSCR!$S$21,$J$5,0)),ISNUMBER(MATCH(DSCR!$S$13,$C$6:$C$7,0)),ISNUMBER(MATCH(DSCR!$S$20,$G$10,0))),NA(),"")</f>
        <v/>
      </c>
      <c r="AM43" t="s">
        <v>926</v>
      </c>
      <c r="AN43" s="174"/>
      <c r="AO43" s="172"/>
    </row>
    <row r="44" spans="1:42" x14ac:dyDescent="0.25">
      <c r="A44" s="408" t="s">
        <v>328</v>
      </c>
      <c r="B44" s="408" t="str">
        <f>IF(AND(ISNUMBER(MATCH(DSCR!S23,L3:L4,0)),
        ISNUMBER(MATCH(DSCR!S27,H5:H14,0))),NA(),"")</f>
        <v/>
      </c>
      <c r="C44" s="397" t="s">
        <v>329</v>
      </c>
      <c r="D44" s="172"/>
      <c r="F44" s="397" t="s">
        <v>281</v>
      </c>
      <c r="G44" s="397"/>
      <c r="H44" s="397" t="s">
        <v>330</v>
      </c>
      <c r="J44" s="172"/>
      <c r="K44" s="172"/>
      <c r="L44" s="172" t="s">
        <v>331</v>
      </c>
      <c r="M44" s="223" t="str" cm="1">
        <f t="array" ref="M44">IF(AND(DSCR!S17='Feed(DSCR)'!D3,OR(DSCR!S29=T8),OR(DSCR!S20='Feed(DSCR)'!G8:G12)),NA(),"")</f>
        <v/>
      </c>
      <c r="N44" s="162" t="s">
        <v>332</v>
      </c>
      <c r="O44" s="172"/>
      <c r="P44" s="172"/>
      <c r="Q44" s="406" t="s">
        <v>283</v>
      </c>
      <c r="R44" s="405"/>
      <c r="S44" s="405" t="s">
        <v>333</v>
      </c>
      <c r="U44" s="397" t="s">
        <v>273</v>
      </c>
      <c r="V44" s="397"/>
      <c r="W44" s="397" t="s">
        <v>297</v>
      </c>
      <c r="Y44" s="397" t="s">
        <v>273</v>
      </c>
      <c r="Z44" s="397"/>
      <c r="AA44" s="397" t="s">
        <v>297</v>
      </c>
      <c r="AG44" s="223" t="s">
        <v>334</v>
      </c>
      <c r="AH44" s="223"/>
      <c r="AI44" s="224" t="s">
        <v>335</v>
      </c>
      <c r="AJ44" s="174"/>
      <c r="AK44" t="s">
        <v>923</v>
      </c>
      <c r="AL44" s="361" t="str">
        <f>IF(AND(ISNUMBER(MATCH(DSCR!$S$12,$A$3:$A$5,0)),ISNUMBER(MATCH(DSCR!$S$11,$B$6:$B$11,0)),ISNUMBER(MATCH(DSCR!$S$21,$J$5,0)),ISNUMBER(MATCH(DSCR!$S$13,$C$6:$C$7,0)),ISNUMBER(MATCH(DSCR!$S$20,$G$11:$G$12,0))),NA(),"")</f>
        <v/>
      </c>
      <c r="AM44" t="s">
        <v>927</v>
      </c>
      <c r="AN44" s="174"/>
      <c r="AO44" s="174"/>
      <c r="AP44" s="174"/>
    </row>
    <row r="45" spans="1:42" x14ac:dyDescent="0.25">
      <c r="A45" s="410">
        <v>1099</v>
      </c>
      <c r="B45" s="408"/>
      <c r="C45" s="397" t="s">
        <v>336</v>
      </c>
      <c r="D45" s="172"/>
      <c r="F45" s="397" t="s">
        <v>281</v>
      </c>
      <c r="G45" s="397"/>
      <c r="H45" s="397" t="s">
        <v>337</v>
      </c>
      <c r="J45" s="172"/>
      <c r="K45" s="172"/>
      <c r="L45" s="172" t="s">
        <v>177</v>
      </c>
      <c r="M45" s="223" t="str" cm="1">
        <f t="array" ref="M45">IF(AND(OR(DSCR!S13='Feed(DSCR)'!C5,DSCR!S13='Feed(DSCR)'!C7:C8),DSCR!S17='Feed(DSCR)'!D3,OR(DSCR!S11='Feed(DSCR)'!B10:B11)),NA(),"")</f>
        <v/>
      </c>
      <c r="N45" s="162" t="s">
        <v>338</v>
      </c>
      <c r="O45" s="172"/>
      <c r="P45" s="172"/>
      <c r="Q45" s="406" t="s">
        <v>283</v>
      </c>
      <c r="R45" s="405"/>
      <c r="S45" s="405" t="s">
        <v>339</v>
      </c>
      <c r="U45" s="397" t="s">
        <v>273</v>
      </c>
      <c r="V45" s="397"/>
      <c r="W45" s="397" t="s">
        <v>340</v>
      </c>
      <c r="Y45" s="397" t="s">
        <v>273</v>
      </c>
      <c r="Z45" s="397"/>
      <c r="AA45" s="397" t="s">
        <v>340</v>
      </c>
      <c r="AG45" s="223" t="s">
        <v>341</v>
      </c>
      <c r="AH45" s="223" t="str" cm="1">
        <f t="array" ref="AH45">IF(AND(OR(DSCR!S23=L5:L6),OR(DSCR!S27=H3,DSCR!S27=H8:H9),OR(DSCR!S29='Feed(DSCR)'!T6)),NA(),"")</f>
        <v/>
      </c>
      <c r="AI45" s="224" t="s">
        <v>335</v>
      </c>
      <c r="AJ45" s="174"/>
      <c r="AK45" t="s">
        <v>931</v>
      </c>
      <c r="AL45" s="361" t="str">
        <f>IF(AND(ISNUMBER(MATCH(DSCR!$S$12,$A$3:$A$12,0)),ISNUMBER(MATCH(DSCR!$S$11,$B$8:$B$11,0)),ISNUMBER(MATCH(DSCR!$S$21,$J$5,0)),ISNUMBER(MATCH(DSCR!$S$13,$C$10,0)),ISNUMBER(MATCH(DSCR!$S$20,$G$3:$G$12,0))),NA(),"")</f>
        <v/>
      </c>
      <c r="AM45" t="s">
        <v>930</v>
      </c>
      <c r="AN45" s="174"/>
      <c r="AO45" s="174"/>
      <c r="AP45" s="174"/>
    </row>
    <row r="46" spans="1:42" x14ac:dyDescent="0.25">
      <c r="A46" s="390" t="s">
        <v>321</v>
      </c>
      <c r="B46" s="390"/>
      <c r="C46" s="401" t="s">
        <v>342</v>
      </c>
      <c r="D46" s="172"/>
      <c r="F46" s="397" t="s">
        <v>281</v>
      </c>
      <c r="G46" s="397"/>
      <c r="H46" s="397" t="s">
        <v>343</v>
      </c>
      <c r="I46"/>
      <c r="J46"/>
      <c r="K46" s="172"/>
      <c r="L46" s="162" t="s">
        <v>344</v>
      </c>
      <c r="M46" s="223" t="str" cm="1">
        <f t="array" ref="M46">IF(AND(OR(DSCR!S28=J15),OR(DSCR!S27=H4:H9),OR(DSCR!S29='Feed(DSCR)'!T14:T14)),NA(),"")</f>
        <v/>
      </c>
      <c r="N46" s="162" t="s">
        <v>345</v>
      </c>
      <c r="O46" s="172"/>
      <c r="P46" s="172"/>
      <c r="Q46" s="406" t="s">
        <v>283</v>
      </c>
      <c r="R46" s="405"/>
      <c r="S46" s="405" t="s">
        <v>346</v>
      </c>
      <c r="U46" s="397" t="s">
        <v>273</v>
      </c>
      <c r="V46" s="402"/>
      <c r="W46" s="397" t="s">
        <v>347</v>
      </c>
      <c r="Y46" s="397" t="s">
        <v>273</v>
      </c>
      <c r="Z46" s="402"/>
      <c r="AA46" s="397" t="s">
        <v>347</v>
      </c>
      <c r="AG46" s="172"/>
      <c r="AJ46" s="174"/>
      <c r="AK46" s="174"/>
      <c r="AL46" s="174"/>
      <c r="AM46" s="174"/>
      <c r="AN46" s="174"/>
      <c r="AO46" s="174"/>
      <c r="AP46" s="174"/>
    </row>
    <row r="47" spans="1:42" x14ac:dyDescent="0.25">
      <c r="A47" s="408" t="s">
        <v>348</v>
      </c>
      <c r="B47" s="408"/>
      <c r="C47" s="397"/>
      <c r="D47" s="172"/>
      <c r="F47" s="397" t="s">
        <v>281</v>
      </c>
      <c r="G47" s="397"/>
      <c r="H47" s="397" t="s">
        <v>349</v>
      </c>
      <c r="I47" s="172"/>
      <c r="J47" s="172"/>
      <c r="K47" s="172"/>
      <c r="L47" s="162" t="s">
        <v>350</v>
      </c>
      <c r="M47" s="223" t="str" cm="1">
        <f t="array" ref="M47">IF(AND(OR(DSCR!S28=J16),(DSCR!S27=H3),OR(DSCR!S29='Feed(DSCR)'!T14:T14)),NA(),"")</f>
        <v/>
      </c>
      <c r="N47" s="162" t="s">
        <v>351</v>
      </c>
      <c r="O47" s="172"/>
      <c r="P47" s="172"/>
      <c r="Q47" s="406" t="s">
        <v>283</v>
      </c>
      <c r="R47" s="405"/>
      <c r="S47" s="405" t="s">
        <v>352</v>
      </c>
      <c r="U47" s="397" t="s">
        <v>273</v>
      </c>
      <c r="V47" s="397"/>
      <c r="W47" s="397" t="s">
        <v>353</v>
      </c>
      <c r="Y47" s="397" t="s">
        <v>273</v>
      </c>
      <c r="Z47" s="397"/>
      <c r="AA47" s="397" t="s">
        <v>353</v>
      </c>
      <c r="AG47" s="223" t="s">
        <v>354</v>
      </c>
      <c r="AH47" s="361" t="str">
        <f>IF(AND(OR(DSCR!$S$25='Feed(DSCR)'!$M$6),DSCR!$S$24='Feed(DSCR)'!$K$10),NA(),"")</f>
        <v/>
      </c>
      <c r="AI47" s="224"/>
      <c r="AJ47" s="174"/>
      <c r="AK47" s="193"/>
      <c r="AL47"/>
      <c r="AM47"/>
      <c r="AN47"/>
      <c r="AO47" s="174" t="s">
        <v>228</v>
      </c>
      <c r="AP47" s="174"/>
    </row>
    <row r="48" spans="1:42" x14ac:dyDescent="0.25">
      <c r="A48" s="390" t="s">
        <v>355</v>
      </c>
      <c r="B48" s="390"/>
      <c r="C48" s="401" t="s">
        <v>356</v>
      </c>
      <c r="D48" s="172"/>
      <c r="F48" s="397" t="s">
        <v>53</v>
      </c>
      <c r="G48" s="397"/>
      <c r="H48" s="397" t="s">
        <v>357</v>
      </c>
      <c r="I48" s="172"/>
      <c r="J48" s="172"/>
      <c r="K48" s="172"/>
      <c r="L48" s="162" t="s">
        <v>358</v>
      </c>
      <c r="M48" s="223" t="str">
        <f>IF(AND(OR(DSCR!S28=J15),(DSCR!S27=H3),(DSCR!S29='Feed(DSCR)'!T3)),NA(),"")</f>
        <v/>
      </c>
      <c r="N48" s="162" t="s">
        <v>359</v>
      </c>
      <c r="O48" s="172"/>
      <c r="P48" s="172"/>
      <c r="Q48" s="406" t="s">
        <v>283</v>
      </c>
      <c r="R48" s="405"/>
      <c r="S48" s="405" t="s">
        <v>360</v>
      </c>
      <c r="U48" s="397" t="s">
        <v>273</v>
      </c>
      <c r="V48" s="402"/>
      <c r="W48" s="397" t="s">
        <v>361</v>
      </c>
      <c r="Y48" s="397" t="s">
        <v>273</v>
      </c>
      <c r="Z48" s="402"/>
      <c r="AA48" s="397" t="s">
        <v>361</v>
      </c>
      <c r="AG48" s="361" t="s">
        <v>362</v>
      </c>
      <c r="AH48" s="361" t="str">
        <f>IF(AND(OR(DSCR!$S$26='Feed(DSCR)'!$I$4),DSCR!$S$24='Feed(DSCR)'!$K$10),NA(),"")</f>
        <v/>
      </c>
      <c r="AI48" s="361" t="s">
        <v>363</v>
      </c>
      <c r="AJ48"/>
      <c r="AK48"/>
      <c r="AL48"/>
      <c r="AM48"/>
      <c r="AN48"/>
      <c r="AO48" s="174" t="s">
        <v>228</v>
      </c>
      <c r="AP48" s="174"/>
    </row>
    <row r="49" spans="1:42" x14ac:dyDescent="0.25">
      <c r="A49" s="390" t="s">
        <v>364</v>
      </c>
      <c r="B49" s="390"/>
      <c r="C49" s="401" t="s">
        <v>366</v>
      </c>
      <c r="D49" s="172"/>
      <c r="F49" s="397" t="s">
        <v>367</v>
      </c>
      <c r="G49" s="397"/>
      <c r="H49" s="397" t="s">
        <v>368</v>
      </c>
      <c r="I49" s="172"/>
      <c r="J49" s="172"/>
      <c r="L49" s="162" t="s">
        <v>369</v>
      </c>
      <c r="M49" s="223" t="str">
        <f>IF(AND(OR(DSCR!S28=J16),(DSCR!S27=H3),(DSCR!S29='Feed(DSCR)'!T3)),NA(),"")</f>
        <v/>
      </c>
      <c r="N49" s="162" t="s">
        <v>370</v>
      </c>
      <c r="O49" s="172"/>
      <c r="P49" s="172"/>
      <c r="Q49" s="406" t="s">
        <v>283</v>
      </c>
      <c r="R49" s="405"/>
      <c r="S49" s="405" t="s">
        <v>371</v>
      </c>
      <c r="U49" s="397" t="s">
        <v>273</v>
      </c>
      <c r="V49" s="402"/>
      <c r="W49" s="397" t="s">
        <v>372</v>
      </c>
      <c r="Y49" s="397" t="s">
        <v>273</v>
      </c>
      <c r="Z49" s="402"/>
      <c r="AA49" s="397" t="s">
        <v>373</v>
      </c>
      <c r="AG49" s="223" t="s">
        <v>374</v>
      </c>
      <c r="AH49" s="361" t="str">
        <f>IF(AND(
   ISNUMBER(MATCH(DSCR!$S$11, $B$8:$B$11, 0)),
   ISNUMBER(MATCH(DSCR!$S$12, $A$7:$A$12, 0)),
   ISNUMBER(MATCH(DSCR!$S$21, $J$3:$J$4, 0)),
   DSCR!$S$13 = $C$8), NA(), "")</f>
        <v/>
      </c>
      <c r="AI49" s="361" t="s">
        <v>375</v>
      </c>
      <c r="AJ49"/>
      <c r="AK49"/>
      <c r="AL49"/>
      <c r="AM49"/>
      <c r="AN49"/>
      <c r="AO49" s="174" t="s">
        <v>228</v>
      </c>
      <c r="AP49" s="174"/>
    </row>
    <row r="50" spans="1:42" x14ac:dyDescent="0.25">
      <c r="A50" s="264" t="s">
        <v>376</v>
      </c>
      <c r="B50" s="264" t="str" cm="1">
        <f t="array" ref="B50">IF(AND(OR(DSCR!S11='Feed(DSCR)'!B10:B11),OR(DSCR!S23='Feed(DSCR)'!L5:L6),OR(DSCR!S27='Feed(DSCR)'!H2:H4)),NA(),"")</f>
        <v/>
      </c>
      <c r="C50" s="412" t="s">
        <v>377</v>
      </c>
      <c r="D50" s="172"/>
      <c r="E50" s="498"/>
      <c r="F50" s="397" t="s">
        <v>378</v>
      </c>
      <c r="G50" s="397"/>
      <c r="H50" s="397" t="s">
        <v>379</v>
      </c>
      <c r="I50" s="172"/>
      <c r="J50" s="172"/>
      <c r="L50" s="162" t="s">
        <v>380</v>
      </c>
      <c r="M50" s="223" t="str" cm="1">
        <f t="array" ref="M50">IF(AND(OR(DSCR!S28=J14),OR(DSCR!S27=H4:H9),(DSCR!S29='Feed(DSCR)'!T14)),NA(),"")</f>
        <v/>
      </c>
      <c r="N50" s="162" t="s">
        <v>381</v>
      </c>
      <c r="O50" s="172"/>
      <c r="P50" s="172"/>
      <c r="Q50" s="406" t="s">
        <v>283</v>
      </c>
      <c r="R50" s="405"/>
      <c r="S50" s="405" t="s">
        <v>382</v>
      </c>
      <c r="U50" s="397" t="s">
        <v>273</v>
      </c>
      <c r="V50" s="402"/>
      <c r="W50" s="397" t="s">
        <v>383</v>
      </c>
      <c r="Y50" s="397" t="s">
        <v>273</v>
      </c>
      <c r="Z50" s="402"/>
      <c r="AA50" s="397" t="s">
        <v>384</v>
      </c>
      <c r="AG50" s="223" t="s">
        <v>385</v>
      </c>
      <c r="AH50" s="223" t="str">
        <f>IF(AND(
   ISNUMBER(MATCH(DSCR!$S$11, $B$9:$B$11, 0)),
   ISNUMBER(MATCH(DSCR!$S$12, $A$3:$A$6, 0)),
   DSCR!$S$21 = $J$3,
   DSCR!$S$13 = $C$8
), NA(), "")</f>
        <v/>
      </c>
      <c r="AI50" s="223" t="s">
        <v>386</v>
      </c>
      <c r="AJ50"/>
      <c r="AK50"/>
      <c r="AL50"/>
      <c r="AM50"/>
      <c r="AN50"/>
      <c r="AO50" s="174" t="s">
        <v>228</v>
      </c>
      <c r="AP50" s="174"/>
    </row>
    <row r="51" spans="1:42" x14ac:dyDescent="0.25">
      <c r="A51" s="389" t="s">
        <v>387</v>
      </c>
      <c r="B51" s="390"/>
      <c r="C51" s="411" t="s">
        <v>388</v>
      </c>
      <c r="D51" s="172" t="str" cm="1">
        <f t="array" ref="D51">IF(AND(OR(NonQM!U12=A10:A12),NonQM!U13=C4),NA(),"")</f>
        <v/>
      </c>
      <c r="E51" s="498"/>
      <c r="F51" s="397" t="s">
        <v>389</v>
      </c>
      <c r="G51" s="397"/>
      <c r="H51" s="397" t="s">
        <v>390</v>
      </c>
      <c r="I51" s="172"/>
      <c r="J51" s="172"/>
      <c r="L51" t="s">
        <v>196</v>
      </c>
      <c r="M51" s="223"/>
      <c r="N51" s="162" t="s">
        <v>391</v>
      </c>
      <c r="O51" s="172"/>
      <c r="P51" s="172"/>
      <c r="Q51" s="406" t="s">
        <v>283</v>
      </c>
      <c r="R51" s="405"/>
      <c r="S51" s="405" t="s">
        <v>392</v>
      </c>
      <c r="U51" s="397" t="s">
        <v>273</v>
      </c>
      <c r="V51" s="402"/>
      <c r="W51" s="397" t="s">
        <v>393</v>
      </c>
      <c r="Y51" s="397" t="s">
        <v>273</v>
      </c>
      <c r="Z51" s="402"/>
      <c r="AA51" s="397" t="s">
        <v>394</v>
      </c>
      <c r="AG51" s="223" t="s">
        <v>395</v>
      </c>
      <c r="AH51" s="361" t="str" cm="1">
        <f t="array" ref="AH51">IF(AND(OR(DSCR!S13='Feed(DSCR)'!C8),DSCR!S17='Feed(DSCR)'!D3,OR(DSCR!S11='Feed(DSCR)'!B7:B11),OR(DSCR!S21=J5:J7)),NA(),"")</f>
        <v/>
      </c>
      <c r="AI51" s="361" t="s">
        <v>396</v>
      </c>
      <c r="AJ51"/>
      <c r="AK51"/>
      <c r="AL51"/>
      <c r="AM51"/>
      <c r="AN51"/>
      <c r="AO51" s="174" t="s">
        <v>228</v>
      </c>
      <c r="AP51" s="174"/>
    </row>
    <row r="52" spans="1:42" x14ac:dyDescent="0.25">
      <c r="A52" s="390" t="s">
        <v>397</v>
      </c>
      <c r="B52" s="390"/>
      <c r="C52" s="411" t="s">
        <v>398</v>
      </c>
      <c r="D52" s="172"/>
      <c r="E52" s="498"/>
      <c r="F52" s="397" t="s">
        <v>399</v>
      </c>
      <c r="G52" s="397"/>
      <c r="H52" s="397" t="s">
        <v>400</v>
      </c>
      <c r="I52" s="172"/>
      <c r="J52" s="172"/>
      <c r="L52" t="s">
        <v>401</v>
      </c>
      <c r="M52" s="223" t="str" cm="1">
        <f t="array" ref="M52">IF(AND(OR(DSCR!$S$12=$A$3:$A$6),DSCR!$S$24='Feed(DSCR)'!$K$10,OR(DSCR!$S$20=$G$3:$G$6),OR(DSCR!$S$11='Feed(DSCR)'!$B$9:$B$11),OR(DSCR!$S$21='Feed(DSCR)'!$J$3)),NA(),"")</f>
        <v/>
      </c>
      <c r="N52" s="162" t="s">
        <v>402</v>
      </c>
      <c r="O52" s="172"/>
      <c r="P52" s="172"/>
      <c r="Q52" s="406" t="s">
        <v>311</v>
      </c>
      <c r="R52" s="405"/>
      <c r="S52" s="405" t="s">
        <v>403</v>
      </c>
      <c r="U52" s="397" t="s">
        <v>273</v>
      </c>
      <c r="V52" s="402"/>
      <c r="W52" s="397" t="s">
        <v>404</v>
      </c>
      <c r="Y52" s="397" t="s">
        <v>273</v>
      </c>
      <c r="Z52" s="402"/>
      <c r="AA52" s="397" t="s">
        <v>405</v>
      </c>
      <c r="AG52" s="223" t="s">
        <v>406</v>
      </c>
      <c r="AH52" s="361" t="str" cm="1">
        <f t="array" ref="AH52">IF(AND(OR(DSCR!S13='Feed(DSCR)'!C8),DSCR!S17='Feed(DSCR)'!D3,OR(DSCR!S11='Feed(DSCR)'!B6:B11),OR(DSCR!S21='Feed(DSCR)'!J3:J4), OR(DSCR!S24=K4:K5)),NA(),"")</f>
        <v/>
      </c>
      <c r="AI52" s="361" t="s">
        <v>407</v>
      </c>
      <c r="AJ52"/>
      <c r="AK52"/>
      <c r="AL52"/>
      <c r="AM52"/>
      <c r="AN52"/>
      <c r="AO52" s="174" t="s">
        <v>228</v>
      </c>
      <c r="AP52" s="174"/>
    </row>
    <row r="53" spans="1:42" x14ac:dyDescent="0.25">
      <c r="A53" s="409" t="s">
        <v>408</v>
      </c>
      <c r="B53" s="390"/>
      <c r="C53" s="411" t="s">
        <v>409</v>
      </c>
      <c r="D53" s="172"/>
      <c r="F53" s="397" t="s">
        <v>399</v>
      </c>
      <c r="G53" s="397"/>
      <c r="H53" s="397" t="s">
        <v>410</v>
      </c>
      <c r="K53"/>
      <c r="L53" t="s">
        <v>411</v>
      </c>
      <c r="M53" s="361" t="str" cm="1">
        <f t="array" ref="M53">IF(AND(OR(DSCR!$S$12='Feed(DSCR)'!$A$7),DSCR!$S$24='Feed(DSCR)'!$K$10,OR(DSCR!$S$20=$G$3:$G$6),OR(DSCR!$S$11='Feed(DSCR)'!$B$9:$B$11),OR(DSCR!$S$21='Feed(DSCR)'!$J$3)),NA(),"")</f>
        <v/>
      </c>
      <c r="N53" t="s">
        <v>412</v>
      </c>
      <c r="Q53" s="406" t="s">
        <v>311</v>
      </c>
      <c r="R53" s="405"/>
      <c r="S53" s="405" t="s">
        <v>413</v>
      </c>
      <c r="U53" s="397" t="s">
        <v>273</v>
      </c>
      <c r="V53" s="402"/>
      <c r="W53" s="397" t="s">
        <v>414</v>
      </c>
      <c r="Y53" s="397" t="s">
        <v>273</v>
      </c>
      <c r="Z53" s="402"/>
      <c r="AA53" s="397" t="s">
        <v>415</v>
      </c>
      <c r="AG53" s="223" t="s">
        <v>406</v>
      </c>
      <c r="AH53" s="361" t="str" cm="1">
        <f t="array" ref="AH53">IF(AND(OR(DSCR!S13='Feed(DSCR)'!C8),DSCR!S17='Feed(DSCR)'!D3,OR(DSCR!S11=B6:B11),OR(DSCR!S21='Feed(DSCR)'!J6:J7), OR(DSCR!S24=K4:K5)),NA(),"")</f>
        <v/>
      </c>
      <c r="AI53" s="361" t="s">
        <v>823</v>
      </c>
      <c r="AJ53"/>
      <c r="AK53"/>
      <c r="AL53"/>
      <c r="AM53"/>
      <c r="AN53"/>
      <c r="AO53" s="174" t="s">
        <v>228</v>
      </c>
      <c r="AP53" s="174"/>
    </row>
    <row r="54" spans="1:42" x14ac:dyDescent="0.25">
      <c r="A54" s="409" t="s">
        <v>418</v>
      </c>
      <c r="B54" s="390"/>
      <c r="C54" s="411" t="s">
        <v>419</v>
      </c>
      <c r="D54" s="172"/>
      <c r="F54" s="397" t="s">
        <v>420</v>
      </c>
      <c r="G54" s="397"/>
      <c r="H54" s="397" t="s">
        <v>421</v>
      </c>
      <c r="K54"/>
      <c r="L54" t="s">
        <v>422</v>
      </c>
      <c r="M54" s="361" t="str" cm="1">
        <f t="array" ref="M54">IF(AND(OR(DSCR!$S$12='Feed(DSCR)'!$A$8),DSCR!$S$24='Feed(DSCR)'!$K$10,OR(DSCR!$S$20=$G$3:$G$6),OR(DSCR!$S$11='Feed(DSCR)'!$B$8:$B$11),OR(DSCR!$S$21='Feed(DSCR)'!$J$3)),NA(),"")</f>
        <v/>
      </c>
      <c r="N54" t="s">
        <v>423</v>
      </c>
      <c r="Q54" s="406" t="s">
        <v>311</v>
      </c>
      <c r="R54" s="405"/>
      <c r="S54" s="405" t="s">
        <v>424</v>
      </c>
      <c r="U54" s="397" t="s">
        <v>273</v>
      </c>
      <c r="V54" s="402"/>
      <c r="W54" s="397" t="s">
        <v>425</v>
      </c>
      <c r="Y54" s="397" t="s">
        <v>273</v>
      </c>
      <c r="Z54" s="402"/>
      <c r="AA54" s="397" t="s">
        <v>426</v>
      </c>
      <c r="AG54" s="223" t="s">
        <v>406</v>
      </c>
      <c r="AH54" s="361" t="str" cm="1">
        <f t="array" ref="AH54">IF(AND(OR(DSCR!S13=C8:C10),DSCR!S17='Feed(DSCR)'!D3,OR(DSCR!S11=B8:B11),OR(DSCR!S21='Feed(DSCR)'!J3:J4), OR(DSCR!S24=K6:K8)),NA(),"")</f>
        <v/>
      </c>
      <c r="AI54" s="361" t="s">
        <v>822</v>
      </c>
      <c r="AJ54"/>
      <c r="AK54"/>
      <c r="AL54"/>
      <c r="AM54"/>
      <c r="AN54"/>
      <c r="AO54" s="174" t="s">
        <v>228</v>
      </c>
      <c r="AP54" s="174"/>
    </row>
    <row r="55" spans="1:42" x14ac:dyDescent="0.25">
      <c r="A55" s="409" t="s">
        <v>427</v>
      </c>
      <c r="B55" s="408"/>
      <c r="C55" s="397" t="s">
        <v>428</v>
      </c>
      <c r="D55" s="172"/>
      <c r="F55" s="397" t="s">
        <v>420</v>
      </c>
      <c r="G55" s="397"/>
      <c r="H55" s="397" t="s">
        <v>429</v>
      </c>
      <c r="K55"/>
      <c r="L55" t="s">
        <v>430</v>
      </c>
      <c r="M55" s="361" t="str" cm="1">
        <f t="array" ref="M55">IF(AND(OR(DSCR!$S$12='Feed(DSCR)'!$A$3:$A$6),DSCR!$S$24='Feed(DSCR)'!$K$10,OR(DSCR!$S$20=$G$7:$G$12),OR(DSCR!$S$11='Feed(DSCR)'!$B$8:$B$11),OR(DSCR!$S$21='Feed(DSCR)'!$J$3)),NA(),"")</f>
        <v/>
      </c>
      <c r="N55" t="s">
        <v>431</v>
      </c>
      <c r="Q55" s="406" t="s">
        <v>311</v>
      </c>
      <c r="R55" s="405"/>
      <c r="S55" s="406" t="s">
        <v>432</v>
      </c>
      <c r="U55" s="397" t="s">
        <v>273</v>
      </c>
      <c r="V55" s="402"/>
      <c r="W55" s="397" t="s">
        <v>433</v>
      </c>
      <c r="Y55" s="397" t="s">
        <v>273</v>
      </c>
      <c r="Z55" s="402"/>
      <c r="AA55" s="397" t="s">
        <v>434</v>
      </c>
      <c r="AG55" s="223" t="s">
        <v>406</v>
      </c>
      <c r="AH55" s="361" t="str" cm="1">
        <f t="array" ref="AH55">IF(AND(OR(DSCR!S13=C8:C10),DSCR!S17='Feed(DSCR)'!D3,OR(DSCR!S11=B6:B11),OR(DSCR!S21=J5:J7), OR(DSCR!S24=K6:K8)),NA(),"")</f>
        <v/>
      </c>
      <c r="AI55" s="361" t="s">
        <v>823</v>
      </c>
      <c r="AJ55"/>
      <c r="AK55"/>
      <c r="AL55"/>
      <c r="AM55"/>
      <c r="AN55"/>
      <c r="AO55" s="174" t="s">
        <v>228</v>
      </c>
      <c r="AP55" s="174"/>
    </row>
    <row r="56" spans="1:42" x14ac:dyDescent="0.25">
      <c r="A56" s="409" t="s">
        <v>435</v>
      </c>
      <c r="B56" s="408"/>
      <c r="C56" s="397" t="s">
        <v>436</v>
      </c>
      <c r="D56" s="172"/>
      <c r="F56" s="397" t="s">
        <v>399</v>
      </c>
      <c r="G56" s="397"/>
      <c r="H56" s="397" t="s">
        <v>437</v>
      </c>
      <c r="K56"/>
      <c r="L56" t="s">
        <v>438</v>
      </c>
      <c r="M56" s="361" t="str" cm="1">
        <f t="array" ref="M56">IF(AND(OR(DSCR!$S$12='Feed(DSCR)'!$A$7),DSCR!$S$24='Feed(DSCR)'!$K$10,OR(DSCR!$S$20=$G$7:$G$12),OR(DSCR!$S$11='Feed(DSCR)'!$B$8:$B$11),OR(DSCR!$S$21='Feed(DSCR)'!$J$3)),NA(),"")</f>
        <v/>
      </c>
      <c r="N56" t="s">
        <v>439</v>
      </c>
      <c r="Q56" s="406" t="s">
        <v>311</v>
      </c>
      <c r="R56" s="404"/>
      <c r="S56" s="406" t="s">
        <v>440</v>
      </c>
      <c r="U56" s="397" t="s">
        <v>273</v>
      </c>
      <c r="V56" s="402"/>
      <c r="W56" s="397" t="s">
        <v>441</v>
      </c>
      <c r="Y56" s="397" t="s">
        <v>273</v>
      </c>
      <c r="Z56" s="402"/>
      <c r="AA56" s="397" t="s">
        <v>442</v>
      </c>
      <c r="AJ56"/>
      <c r="AK56"/>
      <c r="AL56"/>
      <c r="AM56"/>
      <c r="AN56"/>
      <c r="AO56" s="174" t="s">
        <v>228</v>
      </c>
      <c r="AP56" s="174"/>
    </row>
    <row r="57" spans="1:42" x14ac:dyDescent="0.25">
      <c r="A57" s="409" t="s">
        <v>443</v>
      </c>
      <c r="B57" s="408"/>
      <c r="C57" s="397" t="s">
        <v>444</v>
      </c>
      <c r="D57" s="172"/>
      <c r="F57" s="397" t="s">
        <v>399</v>
      </c>
      <c r="G57" s="397"/>
      <c r="H57" s="397" t="s">
        <v>445</v>
      </c>
      <c r="K57"/>
      <c r="L57" t="s">
        <v>446</v>
      </c>
      <c r="M57" s="361" t="str" cm="1">
        <f t="array" ref="M57">IF(AND(OR(DSCR!$S$12='Feed(DSCR)'!$A$8),DSCR!$S$24='Feed(DSCR)'!$K$10,OR(DSCR!$S$20=$G$7),OR(DSCR!$S$11='Feed(DSCR)'!$B$7:$B$11),OR(DSCR!$S$21='Feed(DSCR)'!$J$3)),NA(),"")</f>
        <v/>
      </c>
      <c r="N57" t="s">
        <v>447</v>
      </c>
      <c r="Q57" s="406" t="s">
        <v>311</v>
      </c>
      <c r="R57" s="405"/>
      <c r="S57" s="406" t="s">
        <v>448</v>
      </c>
      <c r="U57" s="397" t="s">
        <v>273</v>
      </c>
      <c r="V57" s="402"/>
      <c r="W57" s="397" t="s">
        <v>449</v>
      </c>
      <c r="Y57" s="397" t="s">
        <v>273</v>
      </c>
      <c r="Z57" s="402"/>
      <c r="AA57" s="397" t="s">
        <v>450</v>
      </c>
      <c r="AG57" s="602"/>
      <c r="AH57" s="603"/>
      <c r="AI57" s="603"/>
      <c r="AJ57"/>
      <c r="AK57"/>
      <c r="AL57"/>
      <c r="AM57"/>
      <c r="AN57"/>
      <c r="AO57" s="174" t="s">
        <v>228</v>
      </c>
      <c r="AP57" s="174"/>
    </row>
    <row r="58" spans="1:42" x14ac:dyDescent="0.25">
      <c r="A58" s="409" t="s">
        <v>453</v>
      </c>
      <c r="B58" s="408"/>
      <c r="C58" s="397" t="s">
        <v>454</v>
      </c>
      <c r="D58" s="172"/>
      <c r="F58" s="397" t="s">
        <v>420</v>
      </c>
      <c r="G58" s="397"/>
      <c r="H58" s="397" t="s">
        <v>455</v>
      </c>
      <c r="K58"/>
      <c r="L58" t="s">
        <v>456</v>
      </c>
      <c r="M58" s="361" t="str" cm="1">
        <f t="array" ref="M58">IF(AND(OR(DSCR!$S$12='Feed(DSCR)'!$A$3:$A$6),DSCR!$S$24='Feed(DSCR)'!$K$10,OR(DSCR!$S$20=$G$3:$G$6),OR(DSCR!$S$11='Feed(DSCR)'!$B$7:$B$11),OR(DSCR!$S$21='Feed(DSCR)'!$J$6:$J$7)),NA(),"")</f>
        <v/>
      </c>
      <c r="N58" t="s">
        <v>457</v>
      </c>
      <c r="O58"/>
      <c r="P58"/>
      <c r="Q58" s="406" t="s">
        <v>311</v>
      </c>
      <c r="R58" s="405"/>
      <c r="S58" s="406" t="s">
        <v>458</v>
      </c>
      <c r="U58" s="397" t="s">
        <v>273</v>
      </c>
      <c r="V58" s="397"/>
      <c r="W58" s="397" t="s">
        <v>459</v>
      </c>
      <c r="Y58" s="397" t="s">
        <v>273</v>
      </c>
      <c r="Z58" s="397"/>
      <c r="AA58" s="397" t="s">
        <v>460</v>
      </c>
      <c r="AG58" s="400"/>
      <c r="AH58" s="400"/>
      <c r="AI58" s="400"/>
      <c r="AJ58"/>
      <c r="AK58"/>
      <c r="AL58"/>
      <c r="AM58"/>
      <c r="AN58"/>
      <c r="AO58" s="174" t="s">
        <v>228</v>
      </c>
      <c r="AP58" s="174"/>
    </row>
    <row r="59" spans="1:42" x14ac:dyDescent="0.25">
      <c r="A59" s="413" t="s">
        <v>177</v>
      </c>
      <c r="B59" s="264" t="str" cm="1">
        <f t="array" ref="B59">IF(AND(OR(DSCR!S11=B8:B11),OR(DSCR!S12=A11:A12),DSCR!S17=D3),NA(),"")</f>
        <v/>
      </c>
      <c r="C59" s="412" t="s">
        <v>463</v>
      </c>
      <c r="F59" s="397" t="s">
        <v>420</v>
      </c>
      <c r="G59" s="397"/>
      <c r="H59" s="397" t="s">
        <v>464</v>
      </c>
      <c r="K59"/>
      <c r="L59" t="s">
        <v>465</v>
      </c>
      <c r="M59" s="361" t="str" cm="1">
        <f t="array" ref="M59">IF(AND(OR(DSCR!$S$12='Feed(DSCR)'!$A$7),DSCR!$S$24='Feed(DSCR)'!$K$10,OR(DSCR!$S$20=$G$3:$G$6),OR(DSCR!$S$11='Feed(DSCR)'!$B$7:$B$11),OR(DSCR!$S$21='Feed(DSCR)'!$J$6:$J$7)),NA(),"")</f>
        <v/>
      </c>
      <c r="N59" t="s">
        <v>466</v>
      </c>
      <c r="Q59" s="406" t="s">
        <v>311</v>
      </c>
      <c r="R59" s="405"/>
      <c r="S59" s="406" t="s">
        <v>467</v>
      </c>
      <c r="U59" s="397" t="s">
        <v>273</v>
      </c>
      <c r="V59" s="397"/>
      <c r="W59" s="397" t="s">
        <v>468</v>
      </c>
      <c r="Y59" s="397" t="s">
        <v>273</v>
      </c>
      <c r="Z59" s="397"/>
      <c r="AA59" s="397" t="s">
        <v>469</v>
      </c>
      <c r="AG59" s="400"/>
      <c r="AH59" s="400"/>
      <c r="AI59" s="400"/>
      <c r="AJ59"/>
      <c r="AK59"/>
      <c r="AL59"/>
      <c r="AM59"/>
      <c r="AN59"/>
      <c r="AO59" s="174" t="s">
        <v>228</v>
      </c>
      <c r="AP59" s="174"/>
    </row>
    <row r="60" spans="1:42" x14ac:dyDescent="0.25">
      <c r="A60" s="170" t="s">
        <v>177</v>
      </c>
      <c r="B60" s="264" t="str" cm="1">
        <f t="array" ref="B60">IF(AND(OR(DSCR!S11='Feed(DSCR)'!B10:B11),DSCR!S17='Feed(DSCR)'!D3,OR(DSCR!S24='Feed(DSCR)'!K4:K6)),NA(),"")</f>
        <v/>
      </c>
      <c r="C60" s="223" t="s">
        <v>472</v>
      </c>
      <c r="F60" s="397" t="s">
        <v>399</v>
      </c>
      <c r="G60" s="397"/>
      <c r="H60" s="397" t="s">
        <v>473</v>
      </c>
      <c r="K60"/>
      <c r="L60" t="s">
        <v>474</v>
      </c>
      <c r="M60" s="361" t="str" cm="1">
        <f t="array" ref="M60">IF(AND(OR(DSCR!$S$12='Feed(DSCR)'!$A$8),DSCR!$S$24='Feed(DSCR)'!$K$10,OR(DSCR!$S$20=$G$3:$G$6),OR(DSCR!$S$11='Feed(DSCR)'!$B$6:$B$11),OR(DSCR!$S$21='Feed(DSCR)'!$J$6:$J$7)),NA(),"")</f>
        <v/>
      </c>
      <c r="N60" t="s">
        <v>475</v>
      </c>
      <c r="Q60" s="406" t="s">
        <v>311</v>
      </c>
      <c r="R60" s="405"/>
      <c r="S60" s="406" t="s">
        <v>476</v>
      </c>
      <c r="U60" s="397" t="s">
        <v>273</v>
      </c>
      <c r="V60" s="397"/>
      <c r="W60" s="397" t="s">
        <v>477</v>
      </c>
      <c r="Y60" s="397" t="s">
        <v>273</v>
      </c>
      <c r="Z60" s="397"/>
      <c r="AA60" s="397" t="s">
        <v>478</v>
      </c>
      <c r="AG60" s="400"/>
      <c r="AH60" s="400"/>
      <c r="AI60" s="400"/>
      <c r="AJ60"/>
      <c r="AK60"/>
      <c r="AL60"/>
      <c r="AM60"/>
      <c r="AN60"/>
      <c r="AO60" s="174" t="s">
        <v>228</v>
      </c>
      <c r="AP60" s="174"/>
    </row>
    <row r="61" spans="1:42" x14ac:dyDescent="0.25">
      <c r="A61" s="170" t="s">
        <v>177</v>
      </c>
      <c r="B61" s="264" t="str" cm="1">
        <f t="array" ref="B61">IF(AND(OR(DSCR!S12='Feed(DSCR)'!A7:A12),DSCR!S17='Feed(DSCR)'!D3,OR(DSCR!S11='Feed(DSCR)'!B9:B11),OR(DSCR!U21='Feed(DSCR)'!J6:J7)),NA(),"")</f>
        <v/>
      </c>
      <c r="C61" s="223" t="s">
        <v>480</v>
      </c>
      <c r="F61" s="397" t="s">
        <v>420</v>
      </c>
      <c r="G61" s="397"/>
      <c r="H61" s="397" t="s">
        <v>481</v>
      </c>
      <c r="I61"/>
      <c r="J61"/>
      <c r="K61"/>
      <c r="L61" t="s">
        <v>482</v>
      </c>
      <c r="M61" s="361" t="str" cm="1">
        <f t="array" ref="M61">IF(AND(OR(DSCR!$S$12='Feed(DSCR)'!$A$3:$A$6),DSCR!$S$24='Feed(DSCR)'!$K$10,OR(DSCR!$S$20=$G$7),OR(DSCR!$S$11='Feed(DSCR)'!$B$7:$B$11),OR(DSCR!$S$21='Feed(DSCR)'!$J$6:$J$7)),NA(),"")</f>
        <v/>
      </c>
      <c r="N61" t="s">
        <v>483</v>
      </c>
      <c r="Q61" s="406" t="s">
        <v>311</v>
      </c>
      <c r="R61" s="405"/>
      <c r="S61" s="406" t="s">
        <v>484</v>
      </c>
      <c r="U61" s="397" t="s">
        <v>273</v>
      </c>
      <c r="V61" s="397"/>
      <c r="W61" s="397" t="s">
        <v>485</v>
      </c>
      <c r="Y61" s="397" t="s">
        <v>273</v>
      </c>
      <c r="Z61" s="397"/>
      <c r="AA61" s="397" t="s">
        <v>486</v>
      </c>
      <c r="AG61" s="400"/>
      <c r="AH61" s="400"/>
      <c r="AI61" s="400"/>
      <c r="AJ61"/>
      <c r="AK61"/>
      <c r="AL61"/>
      <c r="AM61"/>
      <c r="AN61"/>
      <c r="AO61" s="174" t="s">
        <v>228</v>
      </c>
      <c r="AP61" s="174"/>
    </row>
    <row r="62" spans="1:42" x14ac:dyDescent="0.25">
      <c r="A62" s="408" t="s">
        <v>489</v>
      </c>
      <c r="B62" s="408"/>
      <c r="C62" s="397" t="s">
        <v>490</v>
      </c>
      <c r="F62" s="397" t="s">
        <v>420</v>
      </c>
      <c r="G62" s="397"/>
      <c r="H62" s="397" t="s">
        <v>491</v>
      </c>
      <c r="I62"/>
      <c r="J62"/>
      <c r="K62"/>
      <c r="L62" t="s">
        <v>492</v>
      </c>
      <c r="M62" s="223" t="str" cm="1">
        <f t="array" ref="M62">IF(AND(OR(DSCR!$S$12='Feed(DSCR)'!$A$7),DSCR!$S$24='Feed(DSCR)'!$K$10,OR(DSCR!$S$20=$G$7),OR(DSCR!$S$11='Feed(DSCR)'!$B$7:$B$11),OR(DSCR!$S$21='Feed(DSCR)'!$J$6:$J$7)),NA(),"")</f>
        <v/>
      </c>
      <c r="N62" s="162" t="s">
        <v>493</v>
      </c>
      <c r="Q62" s="406" t="s">
        <v>311</v>
      </c>
      <c r="R62" s="405"/>
      <c r="S62" s="406" t="s">
        <v>494</v>
      </c>
      <c r="U62" s="397" t="s">
        <v>273</v>
      </c>
      <c r="V62" s="402"/>
      <c r="W62" s="397" t="s">
        <v>495</v>
      </c>
      <c r="Y62" s="397" t="s">
        <v>273</v>
      </c>
      <c r="Z62" s="402"/>
      <c r="AA62" s="397" t="s">
        <v>496</v>
      </c>
      <c r="AG62" s="400"/>
      <c r="AH62" s="400"/>
      <c r="AI62" s="400"/>
      <c r="AJ62"/>
      <c r="AK62"/>
      <c r="AL62"/>
      <c r="AM62"/>
      <c r="AN62"/>
      <c r="AO62" s="174" t="s">
        <v>228</v>
      </c>
      <c r="AP62" s="174"/>
    </row>
    <row r="63" spans="1:42" x14ac:dyDescent="0.25">
      <c r="A63" s="408" t="s">
        <v>497</v>
      </c>
      <c r="B63" s="408"/>
      <c r="C63" s="397" t="s">
        <v>498</v>
      </c>
      <c r="F63" s="397" t="s">
        <v>399</v>
      </c>
      <c r="G63" s="397"/>
      <c r="H63" s="397" t="s">
        <v>499</v>
      </c>
      <c r="I63"/>
      <c r="J63"/>
      <c r="K63"/>
      <c r="L63" t="s">
        <v>500</v>
      </c>
      <c r="M63" s="223" t="str" cm="1">
        <f t="array" ref="M63">IF(AND(OR(DSCR!$S$12='Feed(DSCR)'!$A$8),DSCR!$S$24='Feed(DSCR)'!$K$10,OR(DSCR!$S$20=$G$7),OR(DSCR!$S$11='Feed(DSCR)'!$B$6:$B$11),OR(DSCR!$S$21='Feed(DSCR)'!$J$6:$J$7)),NA(),"")</f>
        <v/>
      </c>
      <c r="N63" s="162" t="s">
        <v>501</v>
      </c>
      <c r="Q63" s="406" t="s">
        <v>311</v>
      </c>
      <c r="R63" s="405"/>
      <c r="S63" s="406" t="s">
        <v>502</v>
      </c>
      <c r="U63" s="397" t="s">
        <v>273</v>
      </c>
      <c r="V63" s="402"/>
      <c r="W63" s="397" t="s">
        <v>503</v>
      </c>
      <c r="Y63" s="397" t="s">
        <v>273</v>
      </c>
      <c r="Z63" s="402"/>
      <c r="AA63" s="397" t="s">
        <v>504</v>
      </c>
      <c r="AG63"/>
      <c r="AH63"/>
      <c r="AI63"/>
      <c r="AJ63"/>
      <c r="AK63"/>
      <c r="AL63"/>
      <c r="AM63"/>
      <c r="AN63"/>
      <c r="AO63" s="174" t="s">
        <v>228</v>
      </c>
      <c r="AP63" s="174"/>
    </row>
    <row r="64" spans="1:42" x14ac:dyDescent="0.25">
      <c r="A64" s="408" t="s">
        <v>505</v>
      </c>
      <c r="B64" s="408"/>
      <c r="C64" s="397" t="s">
        <v>506</v>
      </c>
      <c r="F64" s="397" t="s">
        <v>420</v>
      </c>
      <c r="G64" s="397"/>
      <c r="H64" s="397" t="s">
        <v>507</v>
      </c>
      <c r="I64"/>
      <c r="J64"/>
      <c r="K64"/>
      <c r="L64" t="s">
        <v>508</v>
      </c>
      <c r="M64" s="223" t="str" cm="1">
        <f t="array" ref="M64">IF(AND(OR(DSCR!$S$12='Feed(DSCR)'!$A$3:$A$6),DSCR!$S$24='Feed(DSCR)'!$K$10,OR(DSCR!$S$20=$G$3:$G$6),OR(DSCR!$S$11='Feed(DSCR)'!$B$9:$B$11),OR(DSCR!$S$21='Feed(DSCR)'!$J$4)),NA(),"")</f>
        <v/>
      </c>
      <c r="N64" s="162" t="s">
        <v>509</v>
      </c>
      <c r="Q64" s="406" t="s">
        <v>311</v>
      </c>
      <c r="R64" s="405"/>
      <c r="S64" s="406" t="s">
        <v>510</v>
      </c>
      <c r="U64" s="397" t="s">
        <v>273</v>
      </c>
      <c r="V64" s="402"/>
      <c r="W64" s="397" t="s">
        <v>511</v>
      </c>
      <c r="Y64" s="397" t="s">
        <v>273</v>
      </c>
      <c r="Z64" s="402"/>
      <c r="AA64" s="397" t="s">
        <v>512</v>
      </c>
      <c r="AG64"/>
      <c r="AH64"/>
      <c r="AI64"/>
      <c r="AJ64"/>
      <c r="AK64"/>
      <c r="AL64"/>
      <c r="AM64"/>
      <c r="AN64"/>
      <c r="AO64" s="174" t="s">
        <v>228</v>
      </c>
      <c r="AP64" s="174"/>
    </row>
    <row r="65" spans="1:42" ht="15.75" thickBot="1" x14ac:dyDescent="0.3">
      <c r="A65" s="408" t="s">
        <v>513</v>
      </c>
      <c r="B65" s="408"/>
      <c r="C65" s="397" t="s">
        <v>514</v>
      </c>
      <c r="F65" s="397" t="s">
        <v>515</v>
      </c>
      <c r="G65" s="397"/>
      <c r="H65" s="397" t="s">
        <v>516</v>
      </c>
      <c r="I65"/>
      <c r="J65"/>
      <c r="K65"/>
      <c r="L65" t="s">
        <v>517</v>
      </c>
      <c r="M65" s="223" t="str" cm="1">
        <f t="array" ref="M65">IF(AND(OR(DSCR!$S$12='Feed(DSCR)'!$A$7),DSCR!$S$24='Feed(DSCR)'!$K$10,OR(DSCR!$S$20=$G$3:$G$6),OR(DSCR!$S$11=$B$9:$B$11),OR(DSCR!$S$21='Feed(DSCR)'!$J$4)),NA(),"")</f>
        <v/>
      </c>
      <c r="N65" s="162" t="s">
        <v>518</v>
      </c>
      <c r="Q65" s="406" t="s">
        <v>311</v>
      </c>
      <c r="R65" s="405"/>
      <c r="S65" s="406" t="s">
        <v>519</v>
      </c>
      <c r="U65" s="397" t="s">
        <v>273</v>
      </c>
      <c r="V65" s="402"/>
      <c r="W65" s="397" t="s">
        <v>520</v>
      </c>
      <c r="Y65" s="397" t="s">
        <v>273</v>
      </c>
      <c r="Z65" s="402"/>
      <c r="AA65" s="397" t="s">
        <v>521</v>
      </c>
      <c r="AG65" s="197" t="s">
        <v>522</v>
      </c>
      <c r="AH65" s="604"/>
      <c r="AI65" s="604"/>
      <c r="AJ65"/>
      <c r="AK65"/>
      <c r="AL65"/>
      <c r="AM65"/>
      <c r="AN65"/>
      <c r="AO65" s="174"/>
      <c r="AP65" s="174"/>
    </row>
    <row r="66" spans="1:42" x14ac:dyDescent="0.25">
      <c r="A66" s="265" t="s">
        <v>523</v>
      </c>
      <c r="B66" s="265" t="str" cm="1">
        <f t="array" ref="B66">IF(AND(OR(DSCR!S29=T5),OR(DSCR!S27=H3),OR(DSCR!S23=L5:L6)),NA(),"")</f>
        <v/>
      </c>
      <c r="C66" s="223"/>
      <c r="F66" s="397" t="s">
        <v>515</v>
      </c>
      <c r="G66" s="397"/>
      <c r="H66" s="397" t="s">
        <v>524</v>
      </c>
      <c r="I66"/>
      <c r="J66"/>
      <c r="K66"/>
      <c r="L66" s="162" t="s">
        <v>525</v>
      </c>
      <c r="M66" s="223" t="str" cm="1">
        <f t="array" ref="M66">IF(AND(OR(DSCR!$S$12='Feed(DSCR)'!$A$8),DSCR!$S$24='Feed(DSCR)'!$K$10,OR(DSCR!$S$20=$G$7:$G$12),OR(DSCR!$S$11='Feed(DSCR)'!$B$7:$B$11),OR(DSCR!$S$21='Feed(DSCR)'!$J$4)),NA(),"")</f>
        <v/>
      </c>
      <c r="N66" s="162" t="s">
        <v>526</v>
      </c>
      <c r="Q66" s="406" t="s">
        <v>311</v>
      </c>
      <c r="R66" s="405"/>
      <c r="S66" s="406" t="s">
        <v>527</v>
      </c>
      <c r="U66" s="397" t="s">
        <v>273</v>
      </c>
      <c r="V66" s="402"/>
      <c r="W66" s="397" t="s">
        <v>528</v>
      </c>
      <c r="Y66" s="397" t="s">
        <v>273</v>
      </c>
      <c r="Z66" s="402"/>
      <c r="AA66" s="397" t="s">
        <v>529</v>
      </c>
      <c r="AG66" s="361" t="s">
        <v>530</v>
      </c>
      <c r="AH66" s="361" t="str">
        <f>IF(AND(
   ISNUMBER(MATCH(DSCR!$S$12, $A$8:$A$12, 0)),
   DSCR!$S$13 = $C$9
), NA(), "")</f>
        <v/>
      </c>
      <c r="AI66" s="361" t="s">
        <v>531</v>
      </c>
      <c r="AJ66"/>
      <c r="AK66"/>
      <c r="AL66"/>
      <c r="AM66"/>
      <c r="AN66"/>
      <c r="AO66" s="174"/>
      <c r="AP66" s="174"/>
    </row>
    <row r="67" spans="1:42" x14ac:dyDescent="0.25">
      <c r="A67" s="198" t="s">
        <v>532</v>
      </c>
      <c r="B67" s="578">
        <f>SUM(B39:B66)+SUM(G38:G76)+SUM(M38:M77)+SUM(R38:R82)+SUM(AH38:AH113)+SUM(Z37:Z125)+SUM(V37:V92)+SUM(AL38:AL45)</f>
        <v>0</v>
      </c>
      <c r="F67" s="397" t="s">
        <v>515</v>
      </c>
      <c r="G67" s="397"/>
      <c r="H67" s="397" t="s">
        <v>533</v>
      </c>
      <c r="I67"/>
      <c r="J67"/>
      <c r="K67"/>
      <c r="L67" s="162" t="s">
        <v>534</v>
      </c>
      <c r="M67" s="223" t="str" cm="1">
        <f t="array" ref="M67">IF(AND(OR(DSCR!$S$12='Feed(DSCR)'!$A$3:$A$6),DSCR!$S$24='Feed(DSCR)'!$K$10,OR(DSCR!$S$20=$G$7:$G$12),OR(DSCR!$S$11='Feed(DSCR)'!$B$8:$B$11),OR(DSCR!$S$21='Feed(DSCR)'!$J$4)),NA(),"")</f>
        <v/>
      </c>
      <c r="N67" s="162" t="s">
        <v>535</v>
      </c>
      <c r="Q67" s="406" t="s">
        <v>311</v>
      </c>
      <c r="R67" s="405"/>
      <c r="S67" s="406" t="s">
        <v>536</v>
      </c>
      <c r="U67" s="397" t="s">
        <v>273</v>
      </c>
      <c r="V67" s="402"/>
      <c r="W67" s="397" t="s">
        <v>537</v>
      </c>
      <c r="Y67" s="397" t="s">
        <v>273</v>
      </c>
      <c r="Z67" s="402"/>
      <c r="AA67" s="397" t="s">
        <v>538</v>
      </c>
      <c r="AG67" s="223" t="s">
        <v>539</v>
      </c>
      <c r="AH67" s="224" t="str">
        <f>IF(AND(
   ISNUMBER(MATCH(DSCR!$S$11, $B$7:$B$11, 0)),
   DSCR!$S$12 = $A$7,
   DSCR!$S$21 = $J$3,
   DSCR!$S$20 = $G$5,
   DSCR!$S$13 = $C$9
), NA(), "")</f>
        <v/>
      </c>
      <c r="AI67" s="223" t="s">
        <v>540</v>
      </c>
      <c r="AJ67" s="174"/>
      <c r="AK67" s="174"/>
      <c r="AL67" s="174"/>
      <c r="AM67" s="174"/>
      <c r="AN67" s="174"/>
      <c r="AO67" s="174"/>
      <c r="AP67" s="174"/>
    </row>
    <row r="68" spans="1:42" x14ac:dyDescent="0.25">
      <c r="A68" s="193" t="s">
        <v>50</v>
      </c>
      <c r="B68" s="193"/>
      <c r="C68"/>
      <c r="F68" s="397" t="s">
        <v>515</v>
      </c>
      <c r="G68" s="397"/>
      <c r="H68" s="397" t="s">
        <v>541</v>
      </c>
      <c r="I68"/>
      <c r="J68"/>
      <c r="K68"/>
      <c r="L68" s="162" t="s">
        <v>542</v>
      </c>
      <c r="M68" s="223" t="str" cm="1">
        <f t="array" ref="M68">IF(AND(OR(DSCR!$S$12='Feed(DSCR)'!$A$7),DSCR!$S$24='Feed(DSCR)'!$K$10,OR(DSCR!$S$20=$G$7:$G$12),OR(DSCR!$S$11='Feed(DSCR)'!$B$7:$B$11),OR(DSCR!$S$21='Feed(DSCR)'!$J$4)),NA(),"")</f>
        <v/>
      </c>
      <c r="N68" s="162" t="s">
        <v>543</v>
      </c>
      <c r="Q68" s="406" t="s">
        <v>311</v>
      </c>
      <c r="R68" s="405"/>
      <c r="S68" s="406" t="s">
        <v>544</v>
      </c>
      <c r="U68" s="397" t="s">
        <v>273</v>
      </c>
      <c r="V68" s="402"/>
      <c r="W68" s="397" t="s">
        <v>545</v>
      </c>
      <c r="Y68" s="397" t="s">
        <v>273</v>
      </c>
      <c r="Z68" s="402"/>
      <c r="AA68" s="397" t="s">
        <v>546</v>
      </c>
      <c r="AG68" s="223" t="s">
        <v>539</v>
      </c>
      <c r="AH68" s="224" t="str">
        <f>IF(AND(
   ISNUMBER(MATCH(DSCR!$S$11, $B$7:$B$11, 0)),
   DSCR!$S$12 = $A$7,
   DSCR!$S$21 = $J$4,
   DSCR!$S$20 = $G$5,
   DSCR!$S$13 = $C$9
), NA(), "")</f>
        <v/>
      </c>
      <c r="AI68" s="223" t="s">
        <v>547</v>
      </c>
      <c r="AJ68" s="174"/>
      <c r="AK68" s="174"/>
      <c r="AL68" s="174"/>
      <c r="AM68" s="174"/>
      <c r="AN68" s="174"/>
      <c r="AO68" s="174"/>
      <c r="AP68" s="174"/>
    </row>
    <row r="69" spans="1:42" x14ac:dyDescent="0.25">
      <c r="A69" s="390" t="b" cm="1">
        <f t="array" ref="A69">IF(AND(NonQM!U21='Feed(DSCR)'!J3,OR(NonQM!U11='Feed(DSCR)'!B10:B11),NonQM!U12='Feed(DSCR)'!C4),TRUE(),FALSE)</f>
        <v>0</v>
      </c>
      <c r="B69" s="401" t="s">
        <v>548</v>
      </c>
      <c r="C69"/>
      <c r="F69" s="397" t="s">
        <v>515</v>
      </c>
      <c r="G69" s="397"/>
      <c r="H69" s="397" t="s">
        <v>549</v>
      </c>
      <c r="I69"/>
      <c r="J69"/>
      <c r="K69"/>
      <c r="L69" s="162" t="s">
        <v>550</v>
      </c>
      <c r="M69" s="223" t="str" cm="1">
        <f t="array" ref="M69">IF(AND(OR(DSCR!$S$12='Feed(DSCR)'!$A$8),DSCR!$S$24='Feed(DSCR)'!$K$10,OR(DSCR!$S$20=$G$7),OR(DSCR!$S$11='Feed(DSCR)'!$B$7:$B$11),OR(DSCR!$S$21='Feed(DSCR)'!$J$4)),NA(),"")</f>
        <v/>
      </c>
      <c r="N69" s="162" t="s">
        <v>551</v>
      </c>
      <c r="Q69" s="406" t="s">
        <v>311</v>
      </c>
      <c r="R69" s="405"/>
      <c r="S69" s="406" t="s">
        <v>552</v>
      </c>
      <c r="U69" s="397" t="s">
        <v>273</v>
      </c>
      <c r="V69" s="402"/>
      <c r="W69" s="397" t="s">
        <v>553</v>
      </c>
      <c r="Y69" s="397" t="s">
        <v>273</v>
      </c>
      <c r="Z69" s="402"/>
      <c r="AA69" s="397" t="s">
        <v>554</v>
      </c>
      <c r="AG69" s="223" t="s">
        <v>539</v>
      </c>
      <c r="AH69" s="224" t="str">
        <f>IF(AND(
   ISNUMBER(MATCH(DSCR!$S$11, $B$6:$B$11, 0)),
   ISNUMBER(MATCH(DSCR!$S$22, $J$6:$J$7, 0)),
   DSCR!$S$12 = $A$7,
   DSCR!$S$20 = $G$5,
   DSCR!$S$13 = $C$9
), NA(), "")</f>
        <v/>
      </c>
      <c r="AI69" s="223" t="s">
        <v>555</v>
      </c>
      <c r="AJ69" s="174"/>
      <c r="AK69" s="174"/>
      <c r="AL69" s="174"/>
      <c r="AM69" s="174"/>
      <c r="AN69" s="174"/>
      <c r="AO69" s="174"/>
      <c r="AP69" s="174"/>
    </row>
    <row r="70" spans="1:42" x14ac:dyDescent="0.25">
      <c r="A70" s="390" t="b" cm="1">
        <f t="array" ref="A70">IF(AND(NonQM!U11='Feed(DSCR)'!B10,NonQM!U12='Feed(DSCR)'!C4,OR(NonQM!U11='Feed(DSCR)'!A3:A6),NonQM!U21='Feed(DSCR)'!J3,NonQM!U23='Feed(DSCR)'!L3),TRUE,FALSE)</f>
        <v>0</v>
      </c>
      <c r="B70" s="401" t="s">
        <v>556</v>
      </c>
      <c r="C70"/>
      <c r="F70" s="397" t="s">
        <v>515</v>
      </c>
      <c r="G70" s="397"/>
      <c r="H70" s="397" t="s">
        <v>557</v>
      </c>
      <c r="J70"/>
      <c r="K70"/>
      <c r="L70" s="162" t="s">
        <v>558</v>
      </c>
      <c r="M70" s="223" t="str" cm="1">
        <f t="array" ref="M70">IF(AND(OR(DSCR!$S$12='Feed(DSCR)'!$A$3:$A$12),DSCR!$S$24='Feed(DSCR)'!$K$10,OR(DSCR!$S$20=$G$10:$G$12)),NA(),"")</f>
        <v/>
      </c>
      <c r="N70" s="162" t="s">
        <v>801</v>
      </c>
      <c r="Q70" s="406" t="s">
        <v>311</v>
      </c>
      <c r="R70" s="405"/>
      <c r="S70" s="406" t="s">
        <v>560</v>
      </c>
      <c r="U70" s="397" t="s">
        <v>273</v>
      </c>
      <c r="V70" s="402"/>
      <c r="W70" s="397" t="s">
        <v>561</v>
      </c>
      <c r="Y70" s="397" t="s">
        <v>273</v>
      </c>
      <c r="Z70" s="402"/>
      <c r="AA70" s="397" t="s">
        <v>562</v>
      </c>
      <c r="AG70" s="223" t="s">
        <v>563</v>
      </c>
      <c r="AH70" s="224" t="str">
        <f>IF(AND(
   ISNUMBER(MATCH(DSCR!$S$11, $B$8:$B$11, 0)),
   ISNUMBER(MATCH(DSCR!$S$12, $A$3:$A$6, 0)),
   DSCR!$S$21 = $J$3,
   DSCR!$S$20 = $G$5,
   DSCR!$S$13 = $C$9
), NA(), "")</f>
        <v/>
      </c>
      <c r="AI70" s="223" t="s">
        <v>564</v>
      </c>
      <c r="AJ70" s="174"/>
      <c r="AK70" s="174"/>
      <c r="AL70" s="174"/>
      <c r="AM70" s="174"/>
      <c r="AN70" s="174"/>
      <c r="AO70" s="174"/>
      <c r="AP70" s="174"/>
    </row>
    <row r="71" spans="1:42" x14ac:dyDescent="0.25">
      <c r="A71" s="390" t="b" cm="1">
        <f t="array" ref="A71">OR(NonQM!U11='Feed(DSCR)'!B3:B9)</f>
        <v>0</v>
      </c>
      <c r="B71" s="401" t="s">
        <v>565</v>
      </c>
      <c r="C71"/>
      <c r="F71" s="397" t="s">
        <v>566</v>
      </c>
      <c r="G71" s="397"/>
      <c r="H71" s="397" t="s">
        <v>567</v>
      </c>
      <c r="J71"/>
      <c r="K71"/>
      <c r="L71" s="162" t="s">
        <v>568</v>
      </c>
      <c r="M71" s="223" t="str" cm="1">
        <f t="array" ref="M71">IF(AND(OR(DSCR!$S$12='Feed(DSCR)'!$A$9:$A$12),DSCR!$S$24='Feed(DSCR)'!$K$10,OR(DSCR!$S$20=$G$3:$G$12)),NA(),"")</f>
        <v/>
      </c>
      <c r="N71" s="162" t="s">
        <v>569</v>
      </c>
      <c r="Q71" s="406" t="s">
        <v>311</v>
      </c>
      <c r="R71" s="405"/>
      <c r="S71" s="406" t="s">
        <v>570</v>
      </c>
      <c r="U71" s="397" t="s">
        <v>273</v>
      </c>
      <c r="V71" s="402"/>
      <c r="W71" s="397" t="s">
        <v>571</v>
      </c>
      <c r="Y71" s="397" t="s">
        <v>273</v>
      </c>
      <c r="Z71" s="402"/>
      <c r="AA71" s="397" t="s">
        <v>572</v>
      </c>
      <c r="AG71" s="223" t="s">
        <v>563</v>
      </c>
      <c r="AH71" s="224" t="str">
        <f>IF(AND(
   ISNUMBER(MATCH(DSCR!$S$11, $B$7:$B$11, 0)),
   ISNUMBER(MATCH(DSCR!$S$12, $A$3:$A$6, 0)),
   DSCR!$S$21 = $J$4,
   DSCR!$S$20 = $G$5,
   DSCR!$S$13 = $C$9
),NA(), "")</f>
        <v/>
      </c>
      <c r="AI71" s="223" t="s">
        <v>573</v>
      </c>
      <c r="AJ71" s="174"/>
      <c r="AK71" s="174"/>
      <c r="AL71" s="174"/>
      <c r="AM71" s="174"/>
      <c r="AN71" s="174"/>
      <c r="AO71" s="174"/>
      <c r="AP71" s="174"/>
    </row>
    <row r="72" spans="1:42" x14ac:dyDescent="0.25">
      <c r="A72" s="264" t="b" cm="1">
        <f t="array" ref="A72">IF(AND(DSCR!S11='Feed(DSCR)'!B10,DSCR!S16='Feed(DSCR)'!D3,DSCR!S12='Feed(DSCR)'!C7,OR(DSCR!S12=A3:A6),OR(DSCR!S21='Feed(DSCR)'!J3:J4)),TRUE,FALSE)</f>
        <v>0</v>
      </c>
      <c r="B72" s="412" t="s">
        <v>574</v>
      </c>
      <c r="C72"/>
      <c r="F72" s="397" t="s">
        <v>575</v>
      </c>
      <c r="G72" s="397"/>
      <c r="H72" s="397" t="s">
        <v>576</v>
      </c>
      <c r="J72"/>
      <c r="K72"/>
      <c r="L72" s="162" t="s">
        <v>577</v>
      </c>
      <c r="M72" s="223" t="str">
        <f>IF(AND(OR(DSCR!$S$13='Feed(DSCR)'!$C$5),DSCR!$S$24='Feed(DSCR)'!$K$10),NA(),"")</f>
        <v/>
      </c>
      <c r="N72" s="162" t="s">
        <v>578</v>
      </c>
      <c r="Q72" s="406" t="s">
        <v>311</v>
      </c>
      <c r="R72" s="405"/>
      <c r="S72" s="406" t="s">
        <v>579</v>
      </c>
      <c r="U72" s="397" t="s">
        <v>273</v>
      </c>
      <c r="V72" s="402"/>
      <c r="W72" s="397" t="s">
        <v>580</v>
      </c>
      <c r="Y72" s="397" t="s">
        <v>273</v>
      </c>
      <c r="Z72" s="402"/>
      <c r="AA72" s="397" t="s">
        <v>581</v>
      </c>
      <c r="AG72" s="223" t="s">
        <v>563</v>
      </c>
      <c r="AH72" s="224" t="str">
        <f>IF(AND(
   ISNUMBER(MATCH(DSCR!$S$11, $B$6:$B$11, 0)),
   ISNUMBER(MATCH(DSCR!$S$12, $A$3:$A$6, 0)),
   ISNUMBER(MATCH(DSCR!$S$22, $J$6:$J$7, 0)),
   DSCR!$S$20 = $G$5,
   DSCR!$S$13 = $C$9
), NA(), "")</f>
        <v/>
      </c>
      <c r="AI72" s="223" t="s">
        <v>555</v>
      </c>
      <c r="AJ72" s="174"/>
      <c r="AK72" s="174"/>
      <c r="AL72" s="174"/>
      <c r="AM72" s="174"/>
      <c r="AN72" s="174"/>
      <c r="AO72" s="174"/>
      <c r="AP72" s="174"/>
    </row>
    <row r="73" spans="1:42" ht="15" customHeight="1" x14ac:dyDescent="0.25">
      <c r="A73" s="390" t="b" cm="1">
        <f t="array" ref="A73">IF(AND(OR(NonQM!U21='Feed(DSCR)'!J3:J8),OR(NonQM!U11='Feed(DSCR)'!B10:B11),NonQM!U12='Feed(DSCR)'!C3),TRUE(),FALSE)</f>
        <v>0</v>
      </c>
      <c r="B73" s="401" t="s">
        <v>582</v>
      </c>
      <c r="C73"/>
      <c r="F73" s="397" t="s">
        <v>583</v>
      </c>
      <c r="G73" s="397"/>
      <c r="H73" s="397" t="s">
        <v>584</v>
      </c>
      <c r="J73"/>
      <c r="K73"/>
      <c r="L73" s="162" t="s">
        <v>585</v>
      </c>
      <c r="M73" s="223" t="str" cm="1">
        <f t="array" ref="M73">IF(AND(OR(DSCR!$S25=$M6:$M7,DSCR!$S25=$M8:$M10,DSCR!$S25=$M11:$M13),DSCR!$S$24='Feed(DSCR)'!$K$10),NA(),"")</f>
        <v/>
      </c>
      <c r="N73" s="162" t="s">
        <v>586</v>
      </c>
      <c r="Q73" s="406" t="s">
        <v>311</v>
      </c>
      <c r="R73" s="405"/>
      <c r="S73" s="406" t="s">
        <v>587</v>
      </c>
      <c r="U73" s="397" t="s">
        <v>273</v>
      </c>
      <c r="V73" s="402"/>
      <c r="W73" s="397" t="s">
        <v>588</v>
      </c>
      <c r="Y73" s="397" t="s">
        <v>273</v>
      </c>
      <c r="Z73" s="402"/>
      <c r="AA73" s="414" t="s">
        <v>589</v>
      </c>
      <c r="AG73" s="397" t="s">
        <v>590</v>
      </c>
      <c r="AH73" s="402"/>
      <c r="AI73" s="397" t="s">
        <v>591</v>
      </c>
      <c r="AJ73" s="174"/>
      <c r="AK73" s="174"/>
      <c r="AL73" s="174"/>
      <c r="AM73" s="174"/>
      <c r="AN73" s="174"/>
      <c r="AO73" s="174"/>
      <c r="AP73" s="174"/>
    </row>
    <row r="74" spans="1:42" x14ac:dyDescent="0.25">
      <c r="A74" s="390" t="b">
        <f>IF(AND(NonQM!U21='Feed(DSCR)'!J4,OR(NonQM!U11='Feed(DSCR)'!B10),NonQM!U12='Feed(DSCR)'!C4),TRUE(),FALSE)</f>
        <v>0</v>
      </c>
      <c r="B74" s="401" t="s">
        <v>592</v>
      </c>
      <c r="F74" s="397" t="s">
        <v>593</v>
      </c>
      <c r="G74" s="397"/>
      <c r="H74" s="397" t="s">
        <v>594</v>
      </c>
      <c r="L74" s="162" t="s">
        <v>595</v>
      </c>
      <c r="M74" s="223" t="str">
        <f>IF(AND(
   ISNUMBER(MATCH(DSCR!$S$11, $B$9:$B$11, 0)),
   ISNUMBER(MATCH(DSCR!$S$17, $D$3, 0)),
   ISNUMBER(MATCH(DSCR!$S$19, $P$6, 0))
), NA(), "")</f>
        <v/>
      </c>
      <c r="N74" s="162" t="s">
        <v>596</v>
      </c>
      <c r="Q74" s="406" t="s">
        <v>311</v>
      </c>
      <c r="R74" s="405"/>
      <c r="S74" s="406" t="s">
        <v>597</v>
      </c>
      <c r="U74" s="397" t="s">
        <v>273</v>
      </c>
      <c r="V74" s="402"/>
      <c r="W74" s="397" t="s">
        <v>598</v>
      </c>
      <c r="Y74" s="397" t="s">
        <v>273</v>
      </c>
      <c r="Z74" s="402"/>
      <c r="AA74" s="397" t="s">
        <v>598</v>
      </c>
      <c r="AG74" s="397" t="s">
        <v>539</v>
      </c>
      <c r="AH74" s="402"/>
      <c r="AI74" s="397" t="s">
        <v>599</v>
      </c>
      <c r="AJ74" s="174"/>
      <c r="AK74" s="174"/>
      <c r="AL74" s="174"/>
      <c r="AM74" s="174"/>
      <c r="AN74" s="174"/>
      <c r="AO74" s="174"/>
      <c r="AP74" s="174"/>
    </row>
    <row r="75" spans="1:42" x14ac:dyDescent="0.25">
      <c r="A75" s="264" t="b" cm="1">
        <f t="array" ref="A75">IF(AND(OR(DSCR!S21='Feed(DSCR)'!J3:J4),OR(DSCR!S11='Feed(DSCR)'!B10),DSCR!S16='Feed(DSCR)'!D3),TRUE(),FALSE)</f>
        <v>0</v>
      </c>
      <c r="B75" s="412" t="s">
        <v>600</v>
      </c>
      <c r="F75" s="397" t="s">
        <v>601</v>
      </c>
      <c r="G75" s="397"/>
      <c r="H75" s="397" t="s">
        <v>602</v>
      </c>
      <c r="L75" s="162" t="s">
        <v>603</v>
      </c>
      <c r="M75" s="223" t="str">
        <f>IF(AND(
   ISNUMBER(MATCH(DSCR!$S$11, $B$3:$B$11, 0)),
   ISNUMBER(MATCH(DSCR!$S$13, $C$8:$C$9, 0)),
   ISNUMBER(MATCH(DSCR!$S$19, $P$6, 0))
), NA(), "")</f>
        <v/>
      </c>
      <c r="N75" s="162" t="s">
        <v>604</v>
      </c>
      <c r="Q75" s="406" t="s">
        <v>311</v>
      </c>
      <c r="R75" s="405"/>
      <c r="S75" s="406" t="s">
        <v>605</v>
      </c>
      <c r="U75" s="223" t="s">
        <v>273</v>
      </c>
      <c r="V75" s="224" t="str">
        <f>IF(AND(
   ISNUMBER(MATCH(DSCR!$S$11, $B$3:$B$11, 0)),
   ISNUMBER(MATCH(DSCR!$S$15, $D$16, 0)),
   ISNUMBER(MATCH(DSCR!$S$20, $G$3:$G$12, 0)),
   ISNUMBER(MATCH(DSCR!$S$13, $C$5:$C$8, 0)),
   DSCR!$S$17 = $D$3
), NA(), "")</f>
        <v/>
      </c>
      <c r="W75" s="223" t="s">
        <v>606</v>
      </c>
      <c r="AG75" s="397" t="s">
        <v>539</v>
      </c>
      <c r="AH75" s="402"/>
      <c r="AI75" s="397" t="s">
        <v>607</v>
      </c>
      <c r="AJ75" s="174"/>
      <c r="AK75" s="174"/>
      <c r="AL75" s="174"/>
      <c r="AM75" s="174"/>
      <c r="AN75" s="174"/>
      <c r="AO75" s="174"/>
      <c r="AP75" s="174"/>
    </row>
    <row r="76" spans="1:42" x14ac:dyDescent="0.25">
      <c r="L76" s="162" t="s">
        <v>608</v>
      </c>
      <c r="M76" s="223" t="str">
        <f>IF(AND(
   ISNUMBER(MATCH(DSCR!$S$11, $B$3:$B$11, 0)),
   ISNUMBER(MATCH(DSCR!$S$13, $C$5, 0)),
   ISNUMBER(MATCH(DSCR!$S$19, $P$6, 0))
), NA(), "")</f>
        <v/>
      </c>
      <c r="N76" s="162" t="s">
        <v>604</v>
      </c>
      <c r="Q76" s="406" t="s">
        <v>311</v>
      </c>
      <c r="R76" s="405"/>
      <c r="S76" s="406" t="s">
        <v>609</v>
      </c>
      <c r="U76" s="223" t="s">
        <v>273</v>
      </c>
      <c r="V76" s="224" t="str">
        <f>IF(AND(ISNUMBER(MATCH(DSCR!$S$11,$B$3:$B$11,0)),ISNUMBER(MATCH(DSCR!$S$15,$D$18,0)),ISNUMBER(MATCH(DSCR!$S$20,$G$3:$G$12,0)),
   ISNUMBER(MATCH(DSCR!$S$13,$C$5:$C$8,0)),DSCR!$S$17=$D$3),NA(),"")</f>
        <v/>
      </c>
      <c r="W76" s="223" t="s">
        <v>894</v>
      </c>
      <c r="AG76" s="397" t="s">
        <v>539</v>
      </c>
      <c r="AH76" s="397"/>
      <c r="AI76" s="397" t="s">
        <v>611</v>
      </c>
      <c r="AJ76" s="174"/>
      <c r="AK76" s="174"/>
      <c r="AL76" s="174"/>
      <c r="AM76" s="174"/>
      <c r="AN76" s="174"/>
      <c r="AO76" s="174"/>
      <c r="AP76" s="174"/>
    </row>
    <row r="77" spans="1:42" x14ac:dyDescent="0.25">
      <c r="L77" s="162" t="s">
        <v>179</v>
      </c>
      <c r="M77" s="223"/>
      <c r="N77" s="162" t="s">
        <v>612</v>
      </c>
      <c r="Q77" s="406" t="s">
        <v>613</v>
      </c>
      <c r="R77" s="491" t="str">
        <f>IF(AND(
   ISNUMBER(MATCH(DSCR!$S$19, $P$6, 0)),
   ISNUMBER(MATCH(DSCR!$S$11, $B$7:$B$11, 0)),
   ISNUMBER(MATCH(DSCR!$S$21, $J$6:$J$7, 0)),
   ISNUMBER(MATCH(DSCR!$S$20, $G$5, 0)),
), NA(), "")</f>
        <v/>
      </c>
      <c r="S77" s="406" t="s">
        <v>776</v>
      </c>
      <c r="AG77" s="397" t="s">
        <v>563</v>
      </c>
      <c r="AH77" s="402"/>
      <c r="AI77" s="397" t="s">
        <v>614</v>
      </c>
      <c r="AJ77" s="174"/>
      <c r="AK77" s="174"/>
      <c r="AL77" s="174"/>
      <c r="AM77" s="174"/>
      <c r="AN77" s="174"/>
      <c r="AO77" s="174"/>
      <c r="AP77" s="174"/>
    </row>
    <row r="78" spans="1:42" x14ac:dyDescent="0.25">
      <c r="L78" s="162" t="s">
        <v>624</v>
      </c>
      <c r="M78" s="223" t="str" cm="1">
        <f t="array" ref="M78">IF(AND(
   ISNUMBER(MATCH(DSCR!$S$12, $A$3:$A$12, 0)),
   ISNUMBER(MATCH(DSCR!$S$11, $B$8:$B$11, 0)),
   ISNUMBER(MATCH(DSCR!$S$21, $J$6:$J$7, 0)),
   ISNUMBER(MATCH(DSCR!$S$20, $G$5:$G$6, 0)),
   ISNUMBER(MATCH(DSCR!$S$13 = $C$6:$C$7, 0)),
   DSCR!$S$18 = $E$9
), NA(), "")</f>
        <v/>
      </c>
      <c r="N78" s="162" t="s">
        <v>625</v>
      </c>
      <c r="Q78" s="406" t="s">
        <v>613</v>
      </c>
      <c r="R78" s="405"/>
      <c r="S78" s="406" t="s">
        <v>615</v>
      </c>
      <c r="AG78" s="397" t="s">
        <v>563</v>
      </c>
      <c r="AH78" s="402"/>
      <c r="AI78" s="397" t="s">
        <v>616</v>
      </c>
      <c r="AJ78" s="174"/>
      <c r="AK78" s="174"/>
      <c r="AL78" s="174"/>
      <c r="AM78" s="174"/>
      <c r="AN78" s="174"/>
      <c r="AO78" s="174"/>
      <c r="AP78" s="174"/>
    </row>
    <row r="79" spans="1:42" x14ac:dyDescent="0.25">
      <c r="Q79" s="406" t="s">
        <v>613</v>
      </c>
      <c r="R79" s="405"/>
      <c r="S79" s="406" t="s">
        <v>617</v>
      </c>
      <c r="AG79" s="397" t="s">
        <v>563</v>
      </c>
      <c r="AH79" s="402"/>
      <c r="AI79" s="397" t="s">
        <v>618</v>
      </c>
      <c r="AJ79" s="174"/>
      <c r="AK79" s="174"/>
      <c r="AL79" s="174"/>
      <c r="AM79" s="174"/>
      <c r="AN79" s="174"/>
      <c r="AO79" s="174"/>
      <c r="AP79" s="174"/>
    </row>
    <row r="80" spans="1:42" ht="15.75" thickBot="1" x14ac:dyDescent="0.3">
      <c r="B80" s="855" t="s">
        <v>619</v>
      </c>
      <c r="C80" s="856"/>
      <c r="D80" s="856"/>
      <c r="E80" s="856"/>
      <c r="F80"/>
      <c r="I80" s="847" t="s">
        <v>619</v>
      </c>
      <c r="J80" s="848"/>
      <c r="K80" s="848"/>
      <c r="L80" s="849"/>
      <c r="Q80" s="406" t="s">
        <v>613</v>
      </c>
      <c r="R80" s="405"/>
      <c r="S80" s="407"/>
      <c r="AH80" s="174"/>
      <c r="AJ80" s="174"/>
      <c r="AK80" s="174"/>
      <c r="AL80" s="174"/>
      <c r="AM80" s="174"/>
      <c r="AN80" s="174"/>
      <c r="AO80" s="174"/>
      <c r="AP80" s="174"/>
    </row>
    <row r="81" spans="2:48" ht="15.75" thickBot="1" x14ac:dyDescent="0.3">
      <c r="B81" s="202" t="s">
        <v>622</v>
      </c>
      <c r="C81" s="203" t="s">
        <v>210</v>
      </c>
      <c r="D81" s="203" t="s">
        <v>221</v>
      </c>
      <c r="E81" s="204" t="s">
        <v>177</v>
      </c>
      <c r="F81" s="204" t="s">
        <v>196</v>
      </c>
      <c r="G81" s="205" t="s">
        <v>623</v>
      </c>
      <c r="I81" s="206" t="s">
        <v>622</v>
      </c>
      <c r="J81" s="207" t="s">
        <v>210</v>
      </c>
      <c r="K81" s="207" t="s">
        <v>221</v>
      </c>
      <c r="L81" s="204" t="s">
        <v>177</v>
      </c>
      <c r="M81" s="204" t="s">
        <v>178</v>
      </c>
      <c r="N81" s="398">
        <v>0</v>
      </c>
      <c r="Q81" s="201" t="s">
        <v>613</v>
      </c>
      <c r="R81" s="223" t="str">
        <f>IF(AND(
   ISNUMBER(MATCH(DSCR!$S$13, $C$6:$C$7, 0)),
   ISNUMBER(MATCH(DSCR!$S$11, $B$8:$B$11, 0)),
   ISNUMBER(MATCH(DSCR!$S$21, $J$6:$J$7, 0)),
   ISNUMBER(MATCH(DSCR!$S$20, $G$5, 0)),
   DSCR!$S$19 = $P$6
), NA(), "")</f>
        <v/>
      </c>
      <c r="AH81" s="174"/>
      <c r="AJ81" s="174"/>
      <c r="AK81" s="174"/>
      <c r="AL81" s="174"/>
      <c r="AM81" s="174"/>
      <c r="AN81" s="174"/>
      <c r="AO81" s="174"/>
      <c r="AP81" s="174"/>
    </row>
    <row r="82" spans="2:48" x14ac:dyDescent="0.25">
      <c r="B82" s="209">
        <f>DSCR!B11</f>
        <v>5.99</v>
      </c>
      <c r="C82" s="210"/>
      <c r="D82" s="210"/>
      <c r="E82" s="211">
        <f>DSCR!C11</f>
        <v>97.837999999999994</v>
      </c>
      <c r="F82" s="211" t="e">
        <f>DSCR!D11</f>
        <v>#N/A</v>
      </c>
      <c r="G82" s="212" t="e">
        <f>SUM(DSCR!T12:T35)+B67</f>
        <v>#N/A</v>
      </c>
      <c r="H82" s="213">
        <v>1</v>
      </c>
      <c r="I82" s="214">
        <f t="shared" ref="I82:I124" si="0">B82</f>
        <v>5.99</v>
      </c>
      <c r="J82" s="215"/>
      <c r="K82" s="215"/>
      <c r="L82" s="216" t="e">
        <f t="shared" ref="L82:M84" si="1">E82+$G$82</f>
        <v>#N/A</v>
      </c>
      <c r="M82" s="216" t="e">
        <f t="shared" si="1"/>
        <v>#N/A</v>
      </c>
      <c r="N82" s="399" cm="1">
        <f t="array" ref="N82:N124">I82:I124</f>
        <v>5.99</v>
      </c>
      <c r="Q82" s="601" t="s">
        <v>624</v>
      </c>
      <c r="R82" s="223" t="str" cm="1">
        <f t="array" ref="R82">IF(AND(
   ISNUMBER(MATCH(DSCR!$S$12, $A$3:$A$12, 0)),
   ISNUMBER(MATCH(DSCR!$S$11, $B$8:$B$11, 0)),
   ISNUMBER(MATCH(DSCR!$S$21, $J$5, 0)),
   ISNUMBER(MATCH(DSCR!$S$21, $J$7, 0)),
   ISNUMBER(MATCH(DSCR!$S$20, $G$5:$G$6, 0)),
   ISNUMBER(MATCH(DSCR!$S$13 = $C$6:$C$7, 0)),
   DSCR!$S$18 = $E$9
), NA(), "")</f>
        <v/>
      </c>
      <c r="S82" s="601" t="s">
        <v>625</v>
      </c>
      <c r="AH82" s="174"/>
      <c r="AJ82" s="174"/>
      <c r="AK82" s="174"/>
      <c r="AL82" s="174"/>
      <c r="AM82" s="174"/>
      <c r="AN82" s="174"/>
      <c r="AO82" s="174"/>
      <c r="AP82" s="174"/>
    </row>
    <row r="83" spans="2:48" x14ac:dyDescent="0.25">
      <c r="B83" s="217">
        <f>DSCR!B12</f>
        <v>6.125</v>
      </c>
      <c r="C83" s="218"/>
      <c r="D83" s="218"/>
      <c r="E83" s="219">
        <f>DSCR!C12</f>
        <v>98.462500000000048</v>
      </c>
      <c r="F83" s="219" t="e">
        <f>DSCR!D12</f>
        <v>#N/A</v>
      </c>
      <c r="G83" s="162" t="s">
        <v>626</v>
      </c>
      <c r="H83" s="213">
        <v>2</v>
      </c>
      <c r="I83" s="220">
        <f t="shared" si="0"/>
        <v>6.125</v>
      </c>
      <c r="J83" s="221"/>
      <c r="K83" s="221"/>
      <c r="L83" s="222" t="e">
        <f t="shared" si="1"/>
        <v>#N/A</v>
      </c>
      <c r="M83" s="222" t="e">
        <f t="shared" si="1"/>
        <v>#N/A</v>
      </c>
      <c r="N83" s="399">
        <v>6.125</v>
      </c>
      <c r="AH83" s="174"/>
      <c r="AJ83" s="174"/>
      <c r="AK83" s="174"/>
      <c r="AL83" s="174"/>
      <c r="AM83" s="174"/>
      <c r="AN83" s="174"/>
      <c r="AO83" s="174"/>
      <c r="AP83" s="174"/>
    </row>
    <row r="84" spans="2:48" ht="15.75" thickBot="1" x14ac:dyDescent="0.3">
      <c r="B84" s="217">
        <f>DSCR!B13</f>
        <v>6.25</v>
      </c>
      <c r="C84" s="218"/>
      <c r="D84" s="218"/>
      <c r="E84" s="219">
        <f>DSCR!C13</f>
        <v>98.900000000000048</v>
      </c>
      <c r="F84" s="219" t="e">
        <f>DSCR!D13</f>
        <v>#N/A</v>
      </c>
      <c r="G84" s="162" t="s">
        <v>627</v>
      </c>
      <c r="H84" s="213">
        <v>3</v>
      </c>
      <c r="I84" s="220">
        <f t="shared" si="0"/>
        <v>6.25</v>
      </c>
      <c r="J84" s="221"/>
      <c r="K84" s="221"/>
      <c r="L84" s="222" t="e">
        <f t="shared" si="1"/>
        <v>#N/A</v>
      </c>
      <c r="M84" s="222" t="e">
        <f t="shared" si="1"/>
        <v>#N/A</v>
      </c>
      <c r="N84" s="399">
        <v>6.25</v>
      </c>
      <c r="AG84" s="606" t="s">
        <v>652</v>
      </c>
      <c r="AH84" s="608"/>
      <c r="AI84" s="607"/>
      <c r="AJ84" s="174"/>
      <c r="AK84" s="174"/>
      <c r="AL84" s="174"/>
      <c r="AM84" s="174"/>
      <c r="AN84" s="174"/>
      <c r="AO84" s="174"/>
      <c r="AP84" s="174"/>
    </row>
    <row r="85" spans="2:48" x14ac:dyDescent="0.25">
      <c r="B85" s="217">
        <f>DSCR!B14</f>
        <v>6.375</v>
      </c>
      <c r="C85" s="218"/>
      <c r="D85" s="218"/>
      <c r="E85" s="219">
        <f>DSCR!C14</f>
        <v>99.275500000000051</v>
      </c>
      <c r="F85" s="219" t="e">
        <f>DSCR!D14</f>
        <v>#N/A</v>
      </c>
      <c r="G85" s="212" t="e">
        <f>DSCR!T40</f>
        <v>#N/A</v>
      </c>
      <c r="H85" s="213">
        <v>4</v>
      </c>
      <c r="I85" s="220">
        <f t="shared" si="0"/>
        <v>6.375</v>
      </c>
      <c r="J85" s="221"/>
      <c r="K85" s="221"/>
      <c r="L85" s="222" t="e">
        <f>E85+$G$82</f>
        <v>#N/A</v>
      </c>
      <c r="M85" s="222" t="e">
        <f>F85+$G$82</f>
        <v>#N/A</v>
      </c>
      <c r="N85" s="399">
        <v>6.375</v>
      </c>
      <c r="P85" s="212"/>
      <c r="U85" s="162"/>
      <c r="V85" s="162"/>
      <c r="W85" s="162"/>
      <c r="Y85" s="396" t="s">
        <v>628</v>
      </c>
      <c r="Z85" s="402"/>
      <c r="AA85" s="402"/>
      <c r="AG85" s="162" t="s">
        <v>653</v>
      </c>
      <c r="AH85" s="223" t="str">
        <f>IF(AND(ISNUMBER(MATCH(DSCR!$S$12, $A$9:$A$12, 0)),DSCR!$S$21 = $J$5), NA(), "")</f>
        <v/>
      </c>
      <c r="AI85" s="162" t="s">
        <v>654</v>
      </c>
      <c r="AJ85" s="174"/>
      <c r="AK85" s="174"/>
      <c r="AL85" s="174"/>
      <c r="AM85" s="174"/>
      <c r="AN85" s="174"/>
      <c r="AO85" s="174"/>
      <c r="AP85" s="174"/>
    </row>
    <row r="86" spans="2:48" x14ac:dyDescent="0.25">
      <c r="B86" s="217">
        <f>DSCR!B15</f>
        <v>6.4989999999999997</v>
      </c>
      <c r="C86" s="218"/>
      <c r="D86" s="218"/>
      <c r="E86" s="219">
        <f>DSCR!C15</f>
        <v>99.775500000000051</v>
      </c>
      <c r="F86" s="219" t="e">
        <f>DSCR!D15</f>
        <v>#N/A</v>
      </c>
      <c r="H86" s="213">
        <v>5</v>
      </c>
      <c r="I86" s="220">
        <f t="shared" si="0"/>
        <v>6.4989999999999997</v>
      </c>
      <c r="J86" s="221"/>
      <c r="K86" s="221"/>
      <c r="L86" s="222" t="e">
        <f t="shared" ref="L86:L124" si="2">E86+$G$82</f>
        <v>#N/A</v>
      </c>
      <c r="M86" s="222" t="e">
        <f t="shared" ref="M86:M124" si="3">F86+$G$82</f>
        <v>#N/A</v>
      </c>
      <c r="N86" s="399">
        <v>6.4989999999999997</v>
      </c>
      <c r="P86" s="212"/>
      <c r="U86" s="162"/>
      <c r="V86" s="162"/>
      <c r="W86" s="162"/>
      <c r="Y86" s="397" t="s">
        <v>273</v>
      </c>
      <c r="Z86" s="397"/>
      <c r="AA86" s="397" t="s">
        <v>629</v>
      </c>
      <c r="AG86" s="162" t="s">
        <v>655</v>
      </c>
      <c r="AH86" s="223" t="str">
        <f>IF(AND(
   ISNUMBER(MATCH(DSCR!$S$12, $A$9:$A$12, 0)),
   DSCR!$S$21 = $J$4), NA(), "")</f>
        <v/>
      </c>
      <c r="AI86" s="162" t="s">
        <v>656</v>
      </c>
      <c r="AJ86" s="174"/>
      <c r="AK86" s="174"/>
      <c r="AL86" s="174"/>
      <c r="AM86" s="174"/>
      <c r="AN86" s="174"/>
      <c r="AO86" s="174"/>
      <c r="AP86" s="174"/>
    </row>
    <row r="87" spans="2:48" x14ac:dyDescent="0.25">
      <c r="B87" s="217">
        <f>DSCR!B16</f>
        <v>6.625</v>
      </c>
      <c r="C87" s="218"/>
      <c r="D87" s="218"/>
      <c r="E87" s="219">
        <f>DSCR!C16</f>
        <v>100.24350000000005</v>
      </c>
      <c r="F87" s="219" t="e">
        <f>DSCR!D16</f>
        <v>#N/A</v>
      </c>
      <c r="H87" s="213">
        <v>6</v>
      </c>
      <c r="I87" s="220">
        <f t="shared" si="0"/>
        <v>6.625</v>
      </c>
      <c r="J87" s="221"/>
      <c r="K87" s="221"/>
      <c r="L87" s="222" t="e">
        <f t="shared" si="2"/>
        <v>#N/A</v>
      </c>
      <c r="M87" s="222" t="e">
        <f t="shared" si="3"/>
        <v>#N/A</v>
      </c>
      <c r="N87" s="399">
        <v>6.625</v>
      </c>
      <c r="P87" s="212"/>
      <c r="Y87" s="397" t="s">
        <v>273</v>
      </c>
      <c r="Z87" s="397"/>
      <c r="AA87" s="397" t="s">
        <v>286</v>
      </c>
      <c r="AG87" s="162" t="s">
        <v>660</v>
      </c>
      <c r="AH87" s="223" t="str">
        <f>IF(AND(
   ISNUMBER(MATCH(DSCR!$S$12, $A$3:$A$8, 0)),
   DSCR!$S$21 = $J$6), NA(), "")</f>
        <v/>
      </c>
      <c r="AI87" s="162" t="s">
        <v>661</v>
      </c>
      <c r="AJ87" s="174"/>
      <c r="AK87" s="174"/>
      <c r="AL87" s="174"/>
      <c r="AM87" s="174"/>
      <c r="AN87" s="174"/>
      <c r="AO87" s="174"/>
      <c r="AP87" s="174"/>
    </row>
    <row r="88" spans="2:48" x14ac:dyDescent="0.25">
      <c r="B88" s="217">
        <f>DSCR!B17</f>
        <v>6.75</v>
      </c>
      <c r="C88" s="218"/>
      <c r="D88" s="218"/>
      <c r="E88" s="219">
        <f>DSCR!C17</f>
        <v>100.68150000000004</v>
      </c>
      <c r="F88" s="219" t="e">
        <f>DSCR!D17</f>
        <v>#N/A</v>
      </c>
      <c r="H88" s="213">
        <v>7</v>
      </c>
      <c r="I88" s="220">
        <f t="shared" si="0"/>
        <v>6.75</v>
      </c>
      <c r="J88" s="221"/>
      <c r="K88" s="221"/>
      <c r="L88" s="222" t="e">
        <f t="shared" si="2"/>
        <v>#N/A</v>
      </c>
      <c r="M88" s="222" t="e">
        <f t="shared" si="3"/>
        <v>#N/A</v>
      </c>
      <c r="N88" s="399">
        <v>6.75</v>
      </c>
      <c r="P88" s="212"/>
      <c r="U88" s="162"/>
      <c r="V88" s="162"/>
      <c r="W88" s="162"/>
      <c r="Y88" s="397" t="s">
        <v>273</v>
      </c>
      <c r="Z88" s="397"/>
      <c r="AA88" s="397" t="s">
        <v>298</v>
      </c>
      <c r="AG88" s="162" t="s">
        <v>663</v>
      </c>
      <c r="AH88" s="223" t="str">
        <f>IF(AND(
   ISNUMBER(MATCH(DSCR!$S$12, $A$3:$A$8, 0)),
   DSCR!$S$21 = $J$7), NA(), "")</f>
        <v/>
      </c>
      <c r="AI88" s="162" t="s">
        <v>662</v>
      </c>
      <c r="AJ88" s="174"/>
      <c r="AK88" s="174"/>
      <c r="AL88" s="174"/>
      <c r="AM88" s="174"/>
      <c r="AN88" s="174"/>
      <c r="AO88" s="174"/>
      <c r="AP88" s="174"/>
    </row>
    <row r="89" spans="2:48" x14ac:dyDescent="0.25">
      <c r="B89" s="217">
        <f>DSCR!B18</f>
        <v>6.875</v>
      </c>
      <c r="C89" s="218"/>
      <c r="D89" s="218"/>
      <c r="E89" s="219">
        <f>DSCR!C18</f>
        <v>101.10350000000005</v>
      </c>
      <c r="F89" s="219" t="e">
        <f>DSCR!D18</f>
        <v>#N/A</v>
      </c>
      <c r="G89" s="162" t="str">
        <f>DSCR!S17</f>
        <v>DSCR</v>
      </c>
      <c r="H89" s="213">
        <v>8</v>
      </c>
      <c r="I89" s="220">
        <f t="shared" si="0"/>
        <v>6.875</v>
      </c>
      <c r="J89" s="221"/>
      <c r="K89" s="221"/>
      <c r="L89" s="222" t="e">
        <f t="shared" si="2"/>
        <v>#N/A</v>
      </c>
      <c r="M89" s="222" t="e">
        <f t="shared" si="3"/>
        <v>#N/A</v>
      </c>
      <c r="N89" s="399">
        <v>6.875</v>
      </c>
      <c r="P89" s="212"/>
      <c r="U89" s="162"/>
      <c r="V89" s="162"/>
      <c r="W89" s="162"/>
      <c r="Y89" s="397" t="s">
        <v>273</v>
      </c>
      <c r="Z89" s="397"/>
      <c r="AA89" s="397" t="s">
        <v>306</v>
      </c>
      <c r="AG89" s="162" t="s">
        <v>759</v>
      </c>
      <c r="AH89" s="223" t="str">
        <f>IF(AND(
   ISNUMBER(MATCH(DSCR!$S$14, $C$15:$C$16, 0)),
   DSCR!$S$13 = $C$10), NA(), "")</f>
        <v/>
      </c>
      <c r="AI89" s="162" t="s">
        <v>760</v>
      </c>
      <c r="AJ89" s="174"/>
      <c r="AK89" s="174"/>
      <c r="AL89" s="174"/>
      <c r="AM89" s="174"/>
      <c r="AN89" s="174"/>
      <c r="AO89" s="174"/>
      <c r="AP89" s="174"/>
    </row>
    <row r="90" spans="2:48" x14ac:dyDescent="0.25">
      <c r="B90" s="217">
        <f>DSCR!B19</f>
        <v>6.9989999999999997</v>
      </c>
      <c r="C90" s="218"/>
      <c r="D90" s="218"/>
      <c r="E90" s="219">
        <f>DSCR!C19</f>
        <v>101.50950000000005</v>
      </c>
      <c r="F90" s="219" t="e">
        <f>DSCR!D19</f>
        <v>#N/A</v>
      </c>
      <c r="G90" s="162" t="str">
        <f>IF(DSCR!S24="DSCR 5-8", "DSCR 5-8", "")</f>
        <v/>
      </c>
      <c r="H90" s="213">
        <v>9</v>
      </c>
      <c r="I90" s="220">
        <f t="shared" si="0"/>
        <v>6.9989999999999997</v>
      </c>
      <c r="J90" s="221"/>
      <c r="K90" s="221"/>
      <c r="L90" s="222" t="e">
        <f t="shared" si="2"/>
        <v>#N/A</v>
      </c>
      <c r="M90" s="222" t="e">
        <f t="shared" si="3"/>
        <v>#N/A</v>
      </c>
      <c r="N90" s="399">
        <v>6.9989999999999997</v>
      </c>
      <c r="P90" s="212"/>
      <c r="U90" s="162"/>
      <c r="V90" s="162"/>
      <c r="W90" s="162"/>
      <c r="Y90" s="397" t="s">
        <v>273</v>
      </c>
      <c r="Z90" s="397"/>
      <c r="AA90" s="397" t="s">
        <v>313</v>
      </c>
      <c r="AG90" s="174"/>
      <c r="AH90" s="174"/>
      <c r="AI90" s="174"/>
      <c r="AJ90" s="174"/>
      <c r="AK90" s="174"/>
      <c r="AL90" s="174"/>
      <c r="AM90" s="174"/>
      <c r="AN90" s="174"/>
      <c r="AO90" s="174"/>
      <c r="AP90" s="174"/>
    </row>
    <row r="91" spans="2:48" x14ac:dyDescent="0.25">
      <c r="B91" s="217">
        <f>DSCR!B20</f>
        <v>7.125</v>
      </c>
      <c r="C91" s="218"/>
      <c r="D91" s="218"/>
      <c r="E91" s="219">
        <f>DSCR!C20</f>
        <v>101.88450000000005</v>
      </c>
      <c r="F91" s="219" t="e">
        <f>DSCR!D20</f>
        <v>#N/A</v>
      </c>
      <c r="G91" s="162" t="str">
        <f>IF(DSCR!S24="DSCR 5-8", "DSCR 5-8", "")</f>
        <v/>
      </c>
      <c r="H91" s="213">
        <v>10</v>
      </c>
      <c r="I91" s="220">
        <f t="shared" si="0"/>
        <v>7.125</v>
      </c>
      <c r="J91" s="221"/>
      <c r="K91" s="221"/>
      <c r="L91" s="222" t="e">
        <f t="shared" si="2"/>
        <v>#N/A</v>
      </c>
      <c r="M91" s="222" t="e">
        <f t="shared" si="3"/>
        <v>#N/A</v>
      </c>
      <c r="N91" s="399">
        <v>7.125</v>
      </c>
      <c r="P91" s="212"/>
      <c r="Y91" s="397" t="s">
        <v>273</v>
      </c>
      <c r="Z91" s="397"/>
      <c r="AA91" s="397" t="s">
        <v>318</v>
      </c>
      <c r="AG91" s="425"/>
      <c r="AH91" s="174"/>
      <c r="AI91" s="174"/>
      <c r="AJ91" s="174"/>
      <c r="AK91" s="174"/>
      <c r="AL91" s="174"/>
      <c r="AM91" s="174"/>
      <c r="AN91" s="174"/>
      <c r="AO91" s="174"/>
      <c r="AP91" s="174"/>
    </row>
    <row r="92" spans="2:48" x14ac:dyDescent="0.25">
      <c r="B92" s="217">
        <f>DSCR!B21</f>
        <v>7.25</v>
      </c>
      <c r="C92" s="218"/>
      <c r="D92" s="218"/>
      <c r="E92" s="219">
        <f>DSCR!C21</f>
        <v>102.25950000000005</v>
      </c>
      <c r="F92" s="219">
        <f>DSCR!D21</f>
        <v>97.35</v>
      </c>
      <c r="H92" s="213">
        <v>11</v>
      </c>
      <c r="I92" s="220">
        <f t="shared" si="0"/>
        <v>7.25</v>
      </c>
      <c r="J92" s="221"/>
      <c r="K92" s="221"/>
      <c r="L92" s="222" t="e">
        <f t="shared" si="2"/>
        <v>#N/A</v>
      </c>
      <c r="M92" s="222" t="e">
        <f t="shared" si="3"/>
        <v>#N/A</v>
      </c>
      <c r="N92" s="399">
        <v>7.25</v>
      </c>
      <c r="P92" s="212"/>
      <c r="Y92" s="397" t="s">
        <v>273</v>
      </c>
      <c r="Z92" s="397"/>
      <c r="AA92" s="397" t="s">
        <v>326</v>
      </c>
      <c r="AM92" s="174"/>
      <c r="AN92" s="174"/>
      <c r="AO92" s="174"/>
      <c r="AP92" s="174"/>
      <c r="AQ92" s="174"/>
      <c r="AR92" s="174"/>
      <c r="AS92" s="174"/>
      <c r="AT92" s="174"/>
      <c r="AU92" s="174"/>
      <c r="AV92" s="174"/>
    </row>
    <row r="93" spans="2:48" x14ac:dyDescent="0.25">
      <c r="B93" s="217">
        <f>DSCR!B22</f>
        <v>7.375</v>
      </c>
      <c r="C93" s="218"/>
      <c r="D93" s="218"/>
      <c r="E93" s="219">
        <f>DSCR!C22</f>
        <v>102.63450000000005</v>
      </c>
      <c r="F93" s="219">
        <f>DSCR!D22</f>
        <v>97.724999999999994</v>
      </c>
      <c r="H93" s="213">
        <v>12</v>
      </c>
      <c r="I93" s="220">
        <f t="shared" si="0"/>
        <v>7.375</v>
      </c>
      <c r="J93" s="221"/>
      <c r="K93" s="221"/>
      <c r="L93" s="222" t="e">
        <f t="shared" si="2"/>
        <v>#N/A</v>
      </c>
      <c r="M93" s="222" t="e">
        <f t="shared" si="3"/>
        <v>#N/A</v>
      </c>
      <c r="N93" s="399">
        <v>7.375</v>
      </c>
      <c r="Y93" s="397" t="s">
        <v>273</v>
      </c>
      <c r="Z93" s="397"/>
      <c r="AA93" s="397" t="s">
        <v>297</v>
      </c>
      <c r="AM93" s="174"/>
      <c r="AN93" s="174"/>
      <c r="AO93" s="174"/>
      <c r="AP93" s="174"/>
      <c r="AQ93" s="174"/>
      <c r="AR93" s="174"/>
      <c r="AS93" s="174"/>
      <c r="AT93" s="174"/>
      <c r="AU93" s="174"/>
      <c r="AV93" s="174"/>
    </row>
    <row r="94" spans="2:48" ht="15.75" thickBot="1" x14ac:dyDescent="0.3">
      <c r="B94" s="217">
        <f>DSCR!B23</f>
        <v>7.4989999999999997</v>
      </c>
      <c r="C94" s="218"/>
      <c r="D94" s="218"/>
      <c r="E94" s="219">
        <f>DSCR!C23</f>
        <v>102.97850000000005</v>
      </c>
      <c r="F94" s="219">
        <f>DSCR!D23</f>
        <v>98.35</v>
      </c>
      <c r="G94" s="212" t="e">
        <f>SUM(DSCR!T12:T35)+B67</f>
        <v>#N/A</v>
      </c>
      <c r="H94" s="213">
        <v>13</v>
      </c>
      <c r="I94" s="220">
        <f t="shared" si="0"/>
        <v>7.4989999999999997</v>
      </c>
      <c r="J94" s="221"/>
      <c r="K94" s="221"/>
      <c r="L94" s="222" t="e">
        <f t="shared" si="2"/>
        <v>#N/A</v>
      </c>
      <c r="M94" s="222" t="e">
        <f t="shared" si="3"/>
        <v>#N/A</v>
      </c>
      <c r="N94" s="399">
        <v>7.4989999999999997</v>
      </c>
      <c r="Y94" s="397" t="s">
        <v>273</v>
      </c>
      <c r="Z94" s="397"/>
      <c r="AA94" s="397" t="s">
        <v>340</v>
      </c>
      <c r="AG94" s="606" t="s">
        <v>782</v>
      </c>
      <c r="AH94" s="607"/>
      <c r="AI94" s="607"/>
      <c r="AM94" s="174"/>
      <c r="AN94" s="174"/>
      <c r="AO94" s="174"/>
      <c r="AP94" s="174"/>
      <c r="AQ94" s="174"/>
      <c r="AR94" s="174"/>
      <c r="AS94" s="174"/>
    </row>
    <row r="95" spans="2:48" x14ac:dyDescent="0.25">
      <c r="B95" s="217">
        <f>DSCR!B24</f>
        <v>7.625</v>
      </c>
      <c r="C95" s="218"/>
      <c r="D95" s="218"/>
      <c r="E95" s="219">
        <f>DSCR!C24</f>
        <v>103.29050000000005</v>
      </c>
      <c r="F95" s="219">
        <f>DSCR!D24</f>
        <v>98.85</v>
      </c>
      <c r="H95" s="213">
        <v>14</v>
      </c>
      <c r="I95" s="220">
        <f t="shared" si="0"/>
        <v>7.625</v>
      </c>
      <c r="J95" s="221"/>
      <c r="K95" s="221"/>
      <c r="L95" s="222" t="e">
        <f t="shared" si="2"/>
        <v>#N/A</v>
      </c>
      <c r="M95" s="222" t="e">
        <f t="shared" si="3"/>
        <v>#N/A</v>
      </c>
      <c r="N95" s="399">
        <v>7.625</v>
      </c>
      <c r="Y95" s="397" t="s">
        <v>273</v>
      </c>
      <c r="Z95" s="402"/>
      <c r="AA95" s="397" t="s">
        <v>347</v>
      </c>
      <c r="AG95" t="s">
        <v>789</v>
      </c>
      <c r="AH95" s="223" t="str" cm="1">
        <f t="array" ref="AH95">IF(AND(OR(DSCR!$S$12=$A$3:$A$6),DSCR!$S$24='Feed(DSCR)'!$K$10,OR(DSCR!$S$20=$G$8:$G$12),OR(DSCR!$S$11=$B$7:$B$11),OR(DSCR!$S$21='Feed(DSCR)'!$J$3)),NA(),"")</f>
        <v/>
      </c>
      <c r="AI95" s="162" t="s">
        <v>802</v>
      </c>
      <c r="AM95" s="174"/>
      <c r="AN95" s="174"/>
      <c r="AO95" s="174"/>
      <c r="AP95" s="174"/>
      <c r="AQ95" s="174"/>
      <c r="AR95" s="174"/>
      <c r="AS95" s="174"/>
    </row>
    <row r="96" spans="2:48" x14ac:dyDescent="0.25">
      <c r="B96" s="217">
        <f>DSCR!B25</f>
        <v>7.75</v>
      </c>
      <c r="C96" s="218"/>
      <c r="D96" s="218"/>
      <c r="E96" s="219">
        <f>DSCR!C25</f>
        <v>103.57150000000004</v>
      </c>
      <c r="F96" s="219">
        <f>DSCR!D25</f>
        <v>99.1</v>
      </c>
      <c r="H96" s="213">
        <v>15</v>
      </c>
      <c r="I96" s="220">
        <f t="shared" si="0"/>
        <v>7.75</v>
      </c>
      <c r="J96" s="221"/>
      <c r="K96" s="221"/>
      <c r="L96" s="222" t="e">
        <f t="shared" si="2"/>
        <v>#N/A</v>
      </c>
      <c r="M96" s="222" t="e">
        <f t="shared" si="3"/>
        <v>#N/A</v>
      </c>
      <c r="N96" s="399">
        <v>7.75</v>
      </c>
      <c r="Y96" s="397" t="s">
        <v>273</v>
      </c>
      <c r="Z96" s="397"/>
      <c r="AA96" s="397" t="s">
        <v>353</v>
      </c>
      <c r="AG96" t="s">
        <v>790</v>
      </c>
      <c r="AH96" s="223" t="str" cm="1">
        <f t="array" ref="AH96">IF(AND(OR(DSCR!$S$12=$A$7),DSCR!$S$24='Feed(DSCR)'!$K$10,OR(DSCR!$S$20=$G$8:$G$12),OR(DSCR!$S$11='Feed(DSCR)'!$B$7:$B$11),OR(DSCR!$S$21=$J$3)),NA(),"")</f>
        <v/>
      </c>
      <c r="AI96" s="162" t="s">
        <v>803</v>
      </c>
      <c r="AK96"/>
      <c r="AL96"/>
      <c r="AM96"/>
      <c r="AN96"/>
      <c r="AO96"/>
      <c r="AP96"/>
      <c r="AQ96"/>
      <c r="AR96"/>
      <c r="AS96"/>
      <c r="AT96"/>
      <c r="AU96"/>
      <c r="AV96"/>
    </row>
    <row r="97" spans="2:48" x14ac:dyDescent="0.25">
      <c r="B97" s="217">
        <f>DSCR!B26</f>
        <v>7.875</v>
      </c>
      <c r="C97" s="218"/>
      <c r="D97" s="218"/>
      <c r="E97" s="219">
        <f>DSCR!C26</f>
        <v>103.85350000000005</v>
      </c>
      <c r="F97" s="219">
        <f>DSCR!D26</f>
        <v>99.35</v>
      </c>
      <c r="G97" s="212"/>
      <c r="H97" s="213">
        <v>16</v>
      </c>
      <c r="I97" s="220">
        <f t="shared" si="0"/>
        <v>7.875</v>
      </c>
      <c r="J97" s="221"/>
      <c r="K97" s="221"/>
      <c r="L97" s="222" t="e">
        <f t="shared" si="2"/>
        <v>#N/A</v>
      </c>
      <c r="M97" s="222" t="e">
        <f t="shared" si="3"/>
        <v>#N/A</v>
      </c>
      <c r="N97" s="399">
        <v>7.875</v>
      </c>
      <c r="Y97" s="397" t="s">
        <v>273</v>
      </c>
      <c r="Z97" s="402"/>
      <c r="AA97" s="397" t="s">
        <v>361</v>
      </c>
      <c r="AG97" s="162" t="s">
        <v>791</v>
      </c>
      <c r="AH97" s="223" t="str" cm="1">
        <f t="array" ref="AH97">IF(AND(OR(DSCR!$S$12=$A$8),DSCR!$S$24='Feed(DSCR)'!$K$10,OR(DSCR!$S$20=$G$8:$G$12),OR(DSCR!$S$11=$B$3:$B$11),OR(DSCR!$S$21=$J$3)),NA(),"")</f>
        <v/>
      </c>
      <c r="AI97" s="162" t="s">
        <v>804</v>
      </c>
      <c r="AK97"/>
      <c r="AL97"/>
      <c r="AM97"/>
      <c r="AN97"/>
      <c r="AO97"/>
      <c r="AP97"/>
      <c r="AQ97"/>
      <c r="AR97"/>
      <c r="AS97"/>
      <c r="AT97"/>
      <c r="AU97"/>
      <c r="AV97"/>
    </row>
    <row r="98" spans="2:48" x14ac:dyDescent="0.25">
      <c r="B98" s="217">
        <f>DSCR!B27</f>
        <v>7.9989999999999997</v>
      </c>
      <c r="C98" s="218"/>
      <c r="D98" s="218"/>
      <c r="E98" s="219">
        <f>DSCR!C27</f>
        <v>104.13450000000005</v>
      </c>
      <c r="F98" s="219">
        <f>DSCR!D27</f>
        <v>99.85</v>
      </c>
      <c r="G98" s="212"/>
      <c r="H98" s="213">
        <v>17</v>
      </c>
      <c r="I98" s="220">
        <f t="shared" si="0"/>
        <v>7.9989999999999997</v>
      </c>
      <c r="J98" s="221"/>
      <c r="K98" s="221"/>
      <c r="L98" s="222" t="e">
        <f t="shared" si="2"/>
        <v>#N/A</v>
      </c>
      <c r="M98" s="222" t="e">
        <f t="shared" si="3"/>
        <v>#N/A</v>
      </c>
      <c r="N98" s="399">
        <v>7.9989999999999997</v>
      </c>
      <c r="Y98" s="397" t="s">
        <v>273</v>
      </c>
      <c r="Z98" s="402"/>
      <c r="AA98" s="397" t="s">
        <v>633</v>
      </c>
      <c r="AG98" s="614" t="s">
        <v>783</v>
      </c>
      <c r="AH98" s="223" t="str" cm="1">
        <f t="array" ref="AH98">IF(AND(OR(DSCR!$S$12=$A$3:$A$6),DSCR!$S$24='Feed(DSCR)'!$K$10,OR(DSCR!$S$20=$G$8:$G$12),OR(DSCR!$S$11=$B$6:$B$11),OR(DSCR!$S$21='Feed(DSCR)'!$J$3)),NA(),"")</f>
        <v/>
      </c>
      <c r="AI98" s="200" t="s">
        <v>805</v>
      </c>
      <c r="AK98"/>
      <c r="AL98"/>
      <c r="AM98"/>
      <c r="AN98"/>
      <c r="AO98"/>
      <c r="AP98"/>
      <c r="AQ98"/>
      <c r="AR98"/>
      <c r="AS98"/>
      <c r="AT98"/>
      <c r="AU98"/>
      <c r="AV98"/>
    </row>
    <row r="99" spans="2:48" x14ac:dyDescent="0.25">
      <c r="B99" s="217">
        <f>DSCR!B28</f>
        <v>8.125</v>
      </c>
      <c r="C99" s="218"/>
      <c r="D99" s="218"/>
      <c r="E99" s="219">
        <f>DSCR!C28</f>
        <v>104.41550000000005</v>
      </c>
      <c r="F99" s="219">
        <f>DSCR!D28</f>
        <v>100.1</v>
      </c>
      <c r="H99" s="213">
        <v>18</v>
      </c>
      <c r="I99" s="225">
        <f t="shared" si="0"/>
        <v>8.125</v>
      </c>
      <c r="J99" s="226"/>
      <c r="K99" s="226"/>
      <c r="L99" s="227" t="e">
        <f t="shared" si="2"/>
        <v>#N/A</v>
      </c>
      <c r="M99" s="227" t="e">
        <f t="shared" si="3"/>
        <v>#N/A</v>
      </c>
      <c r="N99" s="399">
        <v>8.125</v>
      </c>
      <c r="Y99" s="397" t="s">
        <v>273</v>
      </c>
      <c r="Z99" s="402"/>
      <c r="AA99" s="397" t="s">
        <v>384</v>
      </c>
      <c r="AG99" s="614" t="s">
        <v>784</v>
      </c>
      <c r="AH99" s="223" t="str" cm="1">
        <f t="array" ref="AH99">IF(AND(OR(DSCR!$S$12=$A$7),DSCR!$S$24='Feed(DSCR)'!$K$10,OR(DSCR!$S$20=$G$8:$G$12),OR(DSCR!$S$11=$B$6:$B$11),OR(DSCR!$S$21=$J$4)),NA(),"")</f>
        <v/>
      </c>
      <c r="AI99" s="200" t="s">
        <v>806</v>
      </c>
      <c r="AK99"/>
      <c r="AL99"/>
      <c r="AM99"/>
      <c r="AN99"/>
      <c r="AO99"/>
      <c r="AP99"/>
      <c r="AQ99"/>
      <c r="AR99"/>
      <c r="AS99"/>
      <c r="AT99"/>
      <c r="AU99"/>
      <c r="AV99"/>
    </row>
    <row r="100" spans="2:48" x14ac:dyDescent="0.25">
      <c r="B100" s="217">
        <f>DSCR!B29</f>
        <v>8.25</v>
      </c>
      <c r="C100" s="218"/>
      <c r="D100" s="218"/>
      <c r="E100" s="219">
        <f>DSCR!C29</f>
        <v>104.69650000000004</v>
      </c>
      <c r="F100" s="219">
        <f>DSCR!D29</f>
        <v>100.35</v>
      </c>
      <c r="H100" s="213">
        <v>19</v>
      </c>
      <c r="I100" s="225">
        <f t="shared" si="0"/>
        <v>8.25</v>
      </c>
      <c r="J100" s="226"/>
      <c r="K100" s="226"/>
      <c r="L100" s="227" t="e">
        <f t="shared" si="2"/>
        <v>#N/A</v>
      </c>
      <c r="M100" s="227" t="e">
        <f t="shared" si="3"/>
        <v>#N/A</v>
      </c>
      <c r="N100" s="399">
        <v>8.25</v>
      </c>
      <c r="Y100" s="397" t="s">
        <v>273</v>
      </c>
      <c r="Z100" s="402"/>
      <c r="AA100" s="397" t="s">
        <v>394</v>
      </c>
      <c r="AG100" s="200" t="s">
        <v>785</v>
      </c>
      <c r="AH100" s="223" t="str" cm="1">
        <f t="array" ref="AH100">IF(AND(OR(DSCR!$S$12=$A$8),DSCR!$S$24='Feed(DSCR)'!$K$10,OR(DSCR!$S$20=$G$8:$G$12),OR(DSCR!$S$11=$B$3:$B$11),OR(DSCR!$S$21=$J$4)),NA(),"")</f>
        <v/>
      </c>
      <c r="AI100" s="200" t="s">
        <v>807</v>
      </c>
      <c r="AK100"/>
      <c r="AL100"/>
      <c r="AM100"/>
      <c r="AN100"/>
      <c r="AO100"/>
      <c r="AP100"/>
      <c r="AQ100"/>
      <c r="AR100"/>
      <c r="AS100"/>
      <c r="AT100"/>
      <c r="AU100"/>
      <c r="AV100"/>
    </row>
    <row r="101" spans="2:48" x14ac:dyDescent="0.25">
      <c r="B101" s="217">
        <f>DSCR!B30</f>
        <v>8.375</v>
      </c>
      <c r="C101" s="218"/>
      <c r="D101" s="218"/>
      <c r="E101" s="219">
        <f>DSCR!C30</f>
        <v>104.97850000000005</v>
      </c>
      <c r="F101" s="219">
        <f>DSCR!D30</f>
        <v>100.6</v>
      </c>
      <c r="H101" s="213">
        <v>20</v>
      </c>
      <c r="I101" s="220">
        <f t="shared" si="0"/>
        <v>8.375</v>
      </c>
      <c r="J101" s="221"/>
      <c r="K101" s="221"/>
      <c r="L101" s="222" t="e">
        <f t="shared" si="2"/>
        <v>#N/A</v>
      </c>
      <c r="M101" s="222" t="e">
        <f t="shared" si="3"/>
        <v>#N/A</v>
      </c>
      <c r="N101" s="399">
        <v>8.375</v>
      </c>
      <c r="Y101" s="397" t="s">
        <v>273</v>
      </c>
      <c r="Z101" s="402"/>
      <c r="AA101" s="397" t="s">
        <v>405</v>
      </c>
      <c r="AG101" t="s">
        <v>792</v>
      </c>
      <c r="AH101" s="223" t="str" cm="1">
        <f t="array" ref="AH101">IF(AND(OR(DSCR!$S$12=$A$3:$A$6),DSCR!$S$24='Feed(DSCR)'!$K$10,OR(DSCR!$S$20=$G$8:$G$12),OR(DSCR!$S$11=$B$6:$B$11),OR(DSCR!$S$21=$J$5)),NA(),"")</f>
        <v/>
      </c>
      <c r="AI101" s="162" t="s">
        <v>808</v>
      </c>
      <c r="AK101"/>
      <c r="AL101"/>
      <c r="AM101"/>
      <c r="AN101"/>
      <c r="AO101"/>
      <c r="AP101"/>
      <c r="AQ101"/>
      <c r="AR101"/>
      <c r="AS101"/>
      <c r="AT101"/>
      <c r="AU101"/>
      <c r="AV101"/>
    </row>
    <row r="102" spans="2:48" x14ac:dyDescent="0.25">
      <c r="B102" s="217">
        <f>DSCR!B31</f>
        <v>8.4990000000000006</v>
      </c>
      <c r="C102" s="218"/>
      <c r="D102" s="218"/>
      <c r="E102" s="219">
        <f>DSCR!C31</f>
        <v>105.25950000000005</v>
      </c>
      <c r="F102" s="219">
        <f>DSCR!D31</f>
        <v>100.97499999999999</v>
      </c>
      <c r="H102" s="213">
        <v>21</v>
      </c>
      <c r="I102" s="220">
        <f t="shared" si="0"/>
        <v>8.4990000000000006</v>
      </c>
      <c r="J102" s="221"/>
      <c r="K102" s="221"/>
      <c r="L102" s="222" t="e">
        <f t="shared" si="2"/>
        <v>#N/A</v>
      </c>
      <c r="M102" s="222" t="e">
        <f t="shared" si="3"/>
        <v>#N/A</v>
      </c>
      <c r="N102" s="399">
        <v>8.4990000000000006</v>
      </c>
      <c r="Y102" s="397" t="s">
        <v>273</v>
      </c>
      <c r="Z102" s="402"/>
      <c r="AA102" s="397" t="s">
        <v>415</v>
      </c>
      <c r="AG102" t="s">
        <v>793</v>
      </c>
      <c r="AH102" s="223" t="str" cm="1">
        <f t="array" ref="AH102">IF(AND(OR(DSCR!$S$12=$A$7),DSCR!$S$24='Feed(DSCR)'!$K$10,OR(DSCR!$S$20=$G$8:$G$12),OR(DSCR!$S$11=$B$6:$B$11),OR(DSCR!$S$21=$J$5)),NA(),"")</f>
        <v/>
      </c>
      <c r="AI102" s="162" t="s">
        <v>809</v>
      </c>
      <c r="AK102"/>
      <c r="AL102"/>
      <c r="AM102"/>
      <c r="AN102"/>
      <c r="AO102"/>
      <c r="AP102"/>
      <c r="AQ102"/>
      <c r="AR102"/>
      <c r="AS102"/>
      <c r="AT102"/>
      <c r="AU102"/>
      <c r="AV102"/>
    </row>
    <row r="103" spans="2:48" x14ac:dyDescent="0.25">
      <c r="B103" s="217">
        <f>DSCR!B32</f>
        <v>8.625</v>
      </c>
      <c r="C103" s="218"/>
      <c r="D103" s="218"/>
      <c r="E103" s="219">
        <f>DSCR!C32</f>
        <v>105.50950000000005</v>
      </c>
      <c r="F103" s="219">
        <f>DSCR!D32</f>
        <v>101.35</v>
      </c>
      <c r="H103" s="213">
        <v>22</v>
      </c>
      <c r="I103" s="220">
        <f t="shared" si="0"/>
        <v>8.625</v>
      </c>
      <c r="J103" s="221"/>
      <c r="K103" s="221"/>
      <c r="L103" s="222" t="e">
        <f t="shared" si="2"/>
        <v>#N/A</v>
      </c>
      <c r="M103" s="222" t="e">
        <f t="shared" si="3"/>
        <v>#N/A</v>
      </c>
      <c r="N103" s="399">
        <v>8.625</v>
      </c>
      <c r="Y103" s="397" t="s">
        <v>273</v>
      </c>
      <c r="Z103" s="402"/>
      <c r="AA103" s="397" t="s">
        <v>426</v>
      </c>
      <c r="AG103" s="162" t="s">
        <v>794</v>
      </c>
      <c r="AH103" s="223" t="str" cm="1">
        <f t="array" ref="AH103">IF(AND(OR(DSCR!$S$12=$A$8),DSCR!$S$24='Feed(DSCR)'!$K$10,OR(DSCR!$S$20=$G$8:$G$12),OR(DSCR!$S$11=$B$3:$B$11),OR(DSCR!$S$21=$J$5)),NA(),"")</f>
        <v/>
      </c>
      <c r="AI103" s="162" t="s">
        <v>810</v>
      </c>
      <c r="AK103"/>
      <c r="AL103"/>
      <c r="AM103"/>
      <c r="AN103"/>
      <c r="AO103"/>
      <c r="AP103"/>
      <c r="AQ103"/>
      <c r="AR103"/>
      <c r="AS103"/>
      <c r="AT103"/>
      <c r="AU103"/>
      <c r="AV103"/>
    </row>
    <row r="104" spans="2:48" x14ac:dyDescent="0.25">
      <c r="B104" s="217">
        <f>DSCR!B33</f>
        <v>8.75</v>
      </c>
      <c r="C104" s="218"/>
      <c r="D104" s="218"/>
      <c r="E104" s="219">
        <f>DSCR!C33</f>
        <v>105.75950000000005</v>
      </c>
      <c r="F104" s="219">
        <f>DSCR!D33</f>
        <v>101.6</v>
      </c>
      <c r="H104" s="213">
        <v>23</v>
      </c>
      <c r="I104" s="220">
        <f t="shared" si="0"/>
        <v>8.75</v>
      </c>
      <c r="J104" s="221"/>
      <c r="K104" s="221"/>
      <c r="L104" s="222" t="e">
        <f t="shared" si="2"/>
        <v>#N/A</v>
      </c>
      <c r="M104" s="222" t="e">
        <f t="shared" si="3"/>
        <v>#N/A</v>
      </c>
      <c r="N104" s="399">
        <v>8.75</v>
      </c>
      <c r="Y104" s="397" t="s">
        <v>273</v>
      </c>
      <c r="Z104" s="402"/>
      <c r="AA104" s="397" t="s">
        <v>434</v>
      </c>
      <c r="AG104" t="s">
        <v>795</v>
      </c>
      <c r="AH104" s="223" t="str" cm="1">
        <f t="array" ref="AH104">IF(AND(OR(DSCR!$S$12=$A$3:$A$6),DSCR!$S$24='Feed(DSCR)'!$K$10,OR(DSCR!$S$20=$G$9:$G$12),OR(DSCR!$S$11=$B$6:$B$11),OR(DSCR!$S$21=$J$3)),NA(),"")</f>
        <v/>
      </c>
      <c r="AI104" s="162" t="s">
        <v>811</v>
      </c>
      <c r="AK104"/>
      <c r="AL104"/>
      <c r="AM104"/>
      <c r="AN104"/>
      <c r="AO104"/>
      <c r="AP104"/>
      <c r="AQ104"/>
      <c r="AR104"/>
      <c r="AS104"/>
      <c r="AT104"/>
      <c r="AU104"/>
      <c r="AV104"/>
    </row>
    <row r="105" spans="2:48" x14ac:dyDescent="0.25">
      <c r="B105" s="217">
        <f>DSCR!B34</f>
        <v>8.875</v>
      </c>
      <c r="C105" s="218"/>
      <c r="D105" s="218"/>
      <c r="E105" s="219">
        <f>DSCR!C34</f>
        <v>106.00950000000005</v>
      </c>
      <c r="F105" s="219">
        <f>DSCR!D34</f>
        <v>101.97499999999999</v>
      </c>
      <c r="H105" s="213">
        <v>24</v>
      </c>
      <c r="I105" s="220">
        <f t="shared" si="0"/>
        <v>8.875</v>
      </c>
      <c r="J105" s="221"/>
      <c r="K105" s="221"/>
      <c r="L105" s="222" t="e">
        <f t="shared" si="2"/>
        <v>#N/A</v>
      </c>
      <c r="M105" s="222" t="e">
        <f t="shared" si="3"/>
        <v>#N/A</v>
      </c>
      <c r="N105" s="399">
        <v>8.875</v>
      </c>
      <c r="Y105" s="397" t="s">
        <v>273</v>
      </c>
      <c r="Z105" s="402"/>
      <c r="AA105" s="397" t="s">
        <v>442</v>
      </c>
      <c r="AG105" t="s">
        <v>796</v>
      </c>
      <c r="AH105" s="223" t="str" cm="1">
        <f t="array" ref="AH105">IF(AND(OR(DSCR!$S$12=$A$7),DSCR!$S$24='Feed(DSCR)'!$K$10,OR(DSCR!$S$20=$G$9:$G$12),OR(DSCR!$S$11=$B$6:$B$11),OR(DSCR!$S$21=$J$3)),NA(),"")</f>
        <v/>
      </c>
      <c r="AI105" s="162" t="s">
        <v>812</v>
      </c>
      <c r="AK105"/>
      <c r="AL105"/>
      <c r="AM105"/>
      <c r="AN105"/>
      <c r="AO105"/>
      <c r="AP105"/>
      <c r="AQ105"/>
      <c r="AR105"/>
      <c r="AS105"/>
      <c r="AT105"/>
      <c r="AU105"/>
      <c r="AV105"/>
    </row>
    <row r="106" spans="2:48" x14ac:dyDescent="0.25">
      <c r="B106" s="217">
        <f>DSCR!B35</f>
        <v>8.9990000000000006</v>
      </c>
      <c r="C106" s="218"/>
      <c r="D106" s="218"/>
      <c r="E106" s="219">
        <f>DSCR!C35</f>
        <v>106.25950000000005</v>
      </c>
      <c r="F106" s="219">
        <f>DSCR!D35</f>
        <v>102.1</v>
      </c>
      <c r="H106" s="213">
        <v>25</v>
      </c>
      <c r="I106" s="220">
        <f t="shared" si="0"/>
        <v>8.9990000000000006</v>
      </c>
      <c r="J106" s="221"/>
      <c r="K106" s="221"/>
      <c r="L106" s="222" t="e">
        <f t="shared" si="2"/>
        <v>#N/A</v>
      </c>
      <c r="M106" s="222" t="e">
        <f t="shared" si="3"/>
        <v>#N/A</v>
      </c>
      <c r="N106" s="399">
        <v>8.9990000000000006</v>
      </c>
      <c r="Y106" s="397" t="s">
        <v>273</v>
      </c>
      <c r="Z106" s="402"/>
      <c r="AA106" s="397" t="s">
        <v>450</v>
      </c>
      <c r="AB106"/>
      <c r="AC106"/>
      <c r="AD106"/>
      <c r="AE106"/>
      <c r="AF106"/>
      <c r="AG106" s="162" t="s">
        <v>797</v>
      </c>
      <c r="AH106" s="223" t="str" cm="1">
        <f t="array" ref="AH106">IF(AND(OR(DSCR!$S$12=$A$8),DSCR!$S$24='Feed(DSCR)'!$K$10,OR(DSCR!$S$20=$G$7:$G$12),OR(DSCR!$S$11=$B$3:$B$11),OR(DSCR!$S$21=$J$3)),NA(),"")</f>
        <v/>
      </c>
      <c r="AI106" s="162" t="s">
        <v>813</v>
      </c>
      <c r="AJ106"/>
      <c r="AK106"/>
      <c r="AL106"/>
      <c r="AM106"/>
      <c r="AN106"/>
    </row>
    <row r="107" spans="2:48" x14ac:dyDescent="0.25">
      <c r="B107" s="217">
        <f>DSCR!B36</f>
        <v>9.125</v>
      </c>
      <c r="C107" s="218"/>
      <c r="D107" s="218"/>
      <c r="E107" s="219">
        <f>DSCR!C36</f>
        <v>106.50950000000005</v>
      </c>
      <c r="F107" s="219">
        <f>DSCR!D36</f>
        <v>102.47499999999999</v>
      </c>
      <c r="H107" s="213">
        <v>26</v>
      </c>
      <c r="I107" s="220">
        <f t="shared" si="0"/>
        <v>9.125</v>
      </c>
      <c r="J107" s="221"/>
      <c r="K107" s="221"/>
      <c r="L107" s="222" t="e">
        <f t="shared" si="2"/>
        <v>#N/A</v>
      </c>
      <c r="M107" s="222" t="e">
        <f t="shared" si="3"/>
        <v>#N/A</v>
      </c>
      <c r="N107" s="399">
        <v>9.125</v>
      </c>
      <c r="Y107" s="397" t="s">
        <v>273</v>
      </c>
      <c r="Z107" s="397"/>
      <c r="AA107" s="397" t="s">
        <v>460</v>
      </c>
      <c r="AB107"/>
      <c r="AC107"/>
      <c r="AD107"/>
      <c r="AE107"/>
      <c r="AF107"/>
      <c r="AG107" s="614" t="s">
        <v>786</v>
      </c>
      <c r="AH107" s="223" t="str" cm="1">
        <f t="array" ref="AH107">IF(AND(OR(DSCR!$S$12='Feed(DSCR)'!$A$3:$A$6),DSCR!$S$24='Feed(DSCR)'!$K$10,OR(DSCR!$S$20=$G$9:$G$12),OR(DSCR!$S$11=$B$5:$B$11),OR(DSCR!$S$21=$J$4)),NA(),"")</f>
        <v/>
      </c>
      <c r="AI107" s="200" t="s">
        <v>814</v>
      </c>
      <c r="AJ107"/>
      <c r="AK107"/>
      <c r="AL107"/>
      <c r="AM107"/>
      <c r="AN107"/>
    </row>
    <row r="108" spans="2:48" x14ac:dyDescent="0.25">
      <c r="B108" s="217">
        <f>DSCR!B37</f>
        <v>9.25</v>
      </c>
      <c r="C108" s="218"/>
      <c r="D108" s="218"/>
      <c r="E108" s="219">
        <f>DSCR!C37</f>
        <v>106.63450000000005</v>
      </c>
      <c r="F108" s="219">
        <f>DSCR!D37</f>
        <v>102.72499999999999</v>
      </c>
      <c r="H108" s="213">
        <v>27</v>
      </c>
      <c r="I108" s="220">
        <f t="shared" si="0"/>
        <v>9.25</v>
      </c>
      <c r="J108" s="221"/>
      <c r="K108" s="221"/>
      <c r="L108" s="222" t="e">
        <f t="shared" si="2"/>
        <v>#N/A</v>
      </c>
      <c r="M108" s="222" t="e">
        <f t="shared" si="3"/>
        <v>#N/A</v>
      </c>
      <c r="N108" s="399">
        <v>9.25</v>
      </c>
      <c r="Y108" s="397" t="s">
        <v>273</v>
      </c>
      <c r="Z108" s="397"/>
      <c r="AA108" s="397" t="s">
        <v>469</v>
      </c>
      <c r="AB108"/>
      <c r="AC108"/>
      <c r="AD108"/>
      <c r="AE108"/>
      <c r="AF108"/>
      <c r="AG108" s="614" t="s">
        <v>787</v>
      </c>
      <c r="AH108" s="223" t="str" cm="1">
        <f t="array" ref="AH108">IF(AND(OR(DSCR!$S$12=$A$7),DSCR!$S$24='Feed(DSCR)'!$K$10,OR(DSCR!$S$20=$G$9:$G$12),OR(DSCR!$S$11=$B$5:$B$11),OR(DSCR!$S$21=$J$4)),NA(),"")</f>
        <v/>
      </c>
      <c r="AI108" s="200" t="s">
        <v>815</v>
      </c>
      <c r="AJ108"/>
      <c r="AK108"/>
      <c r="AL108"/>
      <c r="AM108"/>
      <c r="AN108"/>
    </row>
    <row r="109" spans="2:48" x14ac:dyDescent="0.25">
      <c r="B109" s="217">
        <f>DSCR!B38</f>
        <v>9.375</v>
      </c>
      <c r="C109" s="218"/>
      <c r="D109" s="218"/>
      <c r="E109" s="219">
        <f>DSCR!C38</f>
        <v>106.75950000000005</v>
      </c>
      <c r="F109" s="219">
        <f>DSCR!D38</f>
        <v>103.1</v>
      </c>
      <c r="H109" s="213">
        <v>28</v>
      </c>
      <c r="I109" s="220">
        <f t="shared" si="0"/>
        <v>9.375</v>
      </c>
      <c r="J109" s="221"/>
      <c r="K109" s="221"/>
      <c r="L109" s="222" t="e">
        <f t="shared" si="2"/>
        <v>#N/A</v>
      </c>
      <c r="M109" s="222" t="e">
        <f t="shared" si="3"/>
        <v>#N/A</v>
      </c>
      <c r="N109" s="399">
        <v>9.375</v>
      </c>
      <c r="Y109" s="397" t="s">
        <v>273</v>
      </c>
      <c r="Z109" s="397"/>
      <c r="AA109" s="397" t="s">
        <v>478</v>
      </c>
      <c r="AB109"/>
      <c r="AC109"/>
      <c r="AD109"/>
      <c r="AE109"/>
      <c r="AF109"/>
      <c r="AG109" s="200" t="s">
        <v>788</v>
      </c>
      <c r="AH109" s="223" t="str" cm="1">
        <f t="array" ref="AH109">IF(AND(OR(DSCR!$S$12=$A$8),DSCR!$S$24='Feed(DSCR)'!$K$10,OR(DSCR!$S$20=$G$9:$G$12),OR(DSCR!$S$11=$B$3:$B$11),OR(DSCR!$S$21=$J$4)),NA(),"")</f>
        <v/>
      </c>
      <c r="AI109" s="200" t="s">
        <v>816</v>
      </c>
      <c r="AJ109"/>
      <c r="AK109"/>
      <c r="AL109"/>
      <c r="AM109"/>
      <c r="AN109"/>
    </row>
    <row r="110" spans="2:48" x14ac:dyDescent="0.25">
      <c r="B110" s="217">
        <f>DSCR!B39</f>
        <v>9.4990000000000006</v>
      </c>
      <c r="C110" s="218"/>
      <c r="D110" s="218"/>
      <c r="E110" s="219">
        <f>DSCR!C39</f>
        <v>106.88450000000005</v>
      </c>
      <c r="F110" s="219">
        <f>DSCR!D39</f>
        <v>103.47499999999999</v>
      </c>
      <c r="H110" s="213">
        <v>29</v>
      </c>
      <c r="I110" s="220">
        <f t="shared" si="0"/>
        <v>9.4990000000000006</v>
      </c>
      <c r="J110" s="221"/>
      <c r="K110" s="221"/>
      <c r="L110" s="222" t="e">
        <f t="shared" si="2"/>
        <v>#N/A</v>
      </c>
      <c r="M110" s="222" t="e">
        <f t="shared" si="3"/>
        <v>#N/A</v>
      </c>
      <c r="N110" s="399">
        <v>9.4990000000000006</v>
      </c>
      <c r="Y110" s="397" t="s">
        <v>273</v>
      </c>
      <c r="Z110" s="397"/>
      <c r="AA110" s="397" t="s">
        <v>486</v>
      </c>
      <c r="AB110"/>
      <c r="AC110"/>
      <c r="AD110"/>
      <c r="AE110"/>
      <c r="AF110"/>
      <c r="AG110" t="s">
        <v>798</v>
      </c>
      <c r="AH110" s="223" t="str" cm="1">
        <f t="array" ref="AH110">IF(AND(OR(DSCR!$S$12='Feed(DSCR)'!$A$3:$A$6),DSCR!$S$24='Feed(DSCR)'!$K$10,OR(DSCR!$S$20=$G$9:$G$12),OR(DSCR!$S$11=$B$3:$B$11),OR(DSCR!$S$21=$J$5)),NA(),"")</f>
        <v/>
      </c>
      <c r="AI110" s="162" t="s">
        <v>817</v>
      </c>
      <c r="AJ110"/>
      <c r="AK110"/>
      <c r="AL110"/>
      <c r="AM110"/>
      <c r="AN110"/>
    </row>
    <row r="111" spans="2:48" x14ac:dyDescent="0.25">
      <c r="B111" s="217">
        <f>DSCR!B40</f>
        <v>9.625</v>
      </c>
      <c r="C111" s="218"/>
      <c r="D111" s="218"/>
      <c r="E111" s="219">
        <f>DSCR!C40</f>
        <v>107.00950000000005</v>
      </c>
      <c r="F111" s="219">
        <f>DSCR!D40</f>
        <v>103.72499999999999</v>
      </c>
      <c r="H111" s="213">
        <v>30</v>
      </c>
      <c r="I111" s="220">
        <f t="shared" si="0"/>
        <v>9.625</v>
      </c>
      <c r="J111" s="221"/>
      <c r="K111" s="221"/>
      <c r="L111" s="222" t="e">
        <f t="shared" si="2"/>
        <v>#N/A</v>
      </c>
      <c r="M111" s="222" t="e">
        <f t="shared" si="3"/>
        <v>#N/A</v>
      </c>
      <c r="N111" s="399">
        <v>9.625</v>
      </c>
      <c r="Y111" s="397" t="s">
        <v>273</v>
      </c>
      <c r="Z111" s="402"/>
      <c r="AA111" s="397" t="s">
        <v>496</v>
      </c>
      <c r="AB111"/>
      <c r="AC111"/>
      <c r="AD111"/>
      <c r="AE111"/>
      <c r="AF111"/>
      <c r="AG111" t="s">
        <v>799</v>
      </c>
      <c r="AH111" s="223" t="str" cm="1">
        <f t="array" ref="AH111">IF(AND(OR(DSCR!$S$12=$A$7),DSCR!$S$24='Feed(DSCR)'!$K$10,OR(DSCR!$S$20=$G$9:$G$12),OR(DSCR!$S$11=$B$3:$B$11),OR(DSCR!$S$21=$J$5)),NA(),"")</f>
        <v/>
      </c>
      <c r="AI111" s="162" t="s">
        <v>818</v>
      </c>
      <c r="AJ111"/>
      <c r="AK111"/>
      <c r="AL111"/>
      <c r="AM111"/>
      <c r="AN111"/>
    </row>
    <row r="112" spans="2:48" x14ac:dyDescent="0.25">
      <c r="B112" s="217">
        <f>DSCR!B41</f>
        <v>9.75</v>
      </c>
      <c r="C112" s="218"/>
      <c r="D112" s="218"/>
      <c r="E112" s="219">
        <f>DSCR!C41</f>
        <v>107.13450000000005</v>
      </c>
      <c r="F112" s="219">
        <f>DSCR!D41</f>
        <v>103.97499999999999</v>
      </c>
      <c r="H112" s="213">
        <v>31</v>
      </c>
      <c r="I112" s="220">
        <f t="shared" si="0"/>
        <v>9.75</v>
      </c>
      <c r="J112" s="221"/>
      <c r="K112" s="221"/>
      <c r="L112" s="222" t="e">
        <f t="shared" si="2"/>
        <v>#N/A</v>
      </c>
      <c r="M112" s="222" t="e">
        <f t="shared" si="3"/>
        <v>#N/A</v>
      </c>
      <c r="N112" s="399">
        <v>9.75</v>
      </c>
      <c r="Y112" s="397" t="s">
        <v>273</v>
      </c>
      <c r="Z112" s="402"/>
      <c r="AA112" s="397" t="s">
        <v>504</v>
      </c>
      <c r="AB112"/>
      <c r="AC112"/>
      <c r="AD112"/>
      <c r="AE112"/>
      <c r="AF112"/>
      <c r="AG112" s="162" t="s">
        <v>800</v>
      </c>
      <c r="AH112" s="223" t="str" cm="1">
        <f t="array" ref="AH112">IF(AND(OR(DSCR!$S$12=$A$8),DSCR!$S$24='Feed(DSCR)'!$K$10,OR(DSCR!$S$20=$G$9:$G$12),OR(DSCR!$S$11=$B$3:$B$11),OR(DSCR!$S$21=$J$5)),NA(),"")</f>
        <v/>
      </c>
      <c r="AI112" s="162" t="s">
        <v>819</v>
      </c>
      <c r="AJ112"/>
      <c r="AK112"/>
      <c r="AL112"/>
      <c r="AM112"/>
      <c r="AN112"/>
    </row>
    <row r="113" spans="2:40" x14ac:dyDescent="0.25">
      <c r="B113" s="217">
        <f>DSCR!B42</f>
        <v>9.875</v>
      </c>
      <c r="C113" s="218"/>
      <c r="D113" s="218"/>
      <c r="E113" s="219">
        <f>DSCR!C42</f>
        <v>107.25950000000005</v>
      </c>
      <c r="F113" s="219">
        <f>DSCR!D42</f>
        <v>104.22499999999999</v>
      </c>
      <c r="H113" s="213">
        <v>32</v>
      </c>
      <c r="I113" s="220">
        <f t="shared" si="0"/>
        <v>9.875</v>
      </c>
      <c r="J113" s="221"/>
      <c r="K113" s="221"/>
      <c r="L113" s="222" t="e">
        <f t="shared" si="2"/>
        <v>#N/A</v>
      </c>
      <c r="M113" s="222" t="e">
        <f t="shared" si="3"/>
        <v>#N/A</v>
      </c>
      <c r="N113" s="399">
        <v>9.875</v>
      </c>
      <c r="Y113" s="397" t="s">
        <v>273</v>
      </c>
      <c r="Z113" s="402"/>
      <c r="AA113" s="397" t="s">
        <v>512</v>
      </c>
      <c r="AB113"/>
      <c r="AC113"/>
      <c r="AD113"/>
      <c r="AE113"/>
      <c r="AF113"/>
      <c r="AG113" s="162" t="s">
        <v>933</v>
      </c>
      <c r="AH113" s="223" t="str" cm="1">
        <f t="array" ref="AH113">IF(AND(DSCR!$S$24='Feed(DSCR)'!$K$10,OR(DSCR!$S$20=$G$3:$G$4)),NA(),"")</f>
        <v/>
      </c>
      <c r="AI113" s="162" t="s">
        <v>932</v>
      </c>
      <c r="AJ113"/>
      <c r="AK113"/>
      <c r="AL113"/>
      <c r="AM113"/>
      <c r="AN113"/>
    </row>
    <row r="114" spans="2:40" x14ac:dyDescent="0.25">
      <c r="B114" s="217">
        <f>DSCR!B43</f>
        <v>9.9990000000000006</v>
      </c>
      <c r="C114" s="218"/>
      <c r="D114" s="218"/>
      <c r="E114" s="219">
        <f>DSCR!C43</f>
        <v>107.38450000000005</v>
      </c>
      <c r="F114" s="219">
        <f>DSCR!D43</f>
        <v>104.47499999999999</v>
      </c>
      <c r="H114" s="213">
        <v>33</v>
      </c>
      <c r="I114" s="220">
        <f t="shared" si="0"/>
        <v>9.9990000000000006</v>
      </c>
      <c r="J114" s="221"/>
      <c r="K114" s="221"/>
      <c r="L114" s="222" t="e">
        <f t="shared" si="2"/>
        <v>#N/A</v>
      </c>
      <c r="M114" s="222" t="e">
        <f t="shared" si="3"/>
        <v>#N/A</v>
      </c>
      <c r="N114" s="399">
        <v>9.9990000000000006</v>
      </c>
      <c r="Y114" s="397" t="s">
        <v>273</v>
      </c>
      <c r="Z114" s="402"/>
      <c r="AA114" s="397" t="s">
        <v>521</v>
      </c>
      <c r="AB114"/>
      <c r="AC114"/>
      <c r="AD114"/>
      <c r="AE114"/>
      <c r="AF114"/>
      <c r="AG114"/>
      <c r="AH114"/>
      <c r="AI114"/>
      <c r="AJ114"/>
      <c r="AK114"/>
      <c r="AL114"/>
      <c r="AM114"/>
      <c r="AN114"/>
    </row>
    <row r="115" spans="2:40" x14ac:dyDescent="0.25">
      <c r="B115" s="217">
        <f>DSCR!B44</f>
        <v>10.125</v>
      </c>
      <c r="C115" s="218"/>
      <c r="D115" s="218"/>
      <c r="E115" s="219">
        <f>DSCR!C44</f>
        <v>107.50950000000005</v>
      </c>
      <c r="F115" s="219">
        <f>DSCR!D44</f>
        <v>104.72499999999999</v>
      </c>
      <c r="H115" s="213">
        <v>34</v>
      </c>
      <c r="I115" s="220">
        <f t="shared" si="0"/>
        <v>10.125</v>
      </c>
      <c r="J115" s="221"/>
      <c r="K115" s="221"/>
      <c r="L115" s="222" t="e">
        <f t="shared" si="2"/>
        <v>#N/A</v>
      </c>
      <c r="M115" s="222" t="e">
        <f t="shared" si="3"/>
        <v>#N/A</v>
      </c>
      <c r="N115" s="399">
        <v>10.125</v>
      </c>
      <c r="Y115" s="397" t="s">
        <v>273</v>
      </c>
      <c r="Z115" s="402"/>
      <c r="AA115" s="397" t="s">
        <v>529</v>
      </c>
      <c r="AB115"/>
      <c r="AC115"/>
      <c r="AD115"/>
      <c r="AE115"/>
      <c r="AF115"/>
      <c r="AG115"/>
      <c r="AH115"/>
      <c r="AI115"/>
      <c r="AJ115"/>
      <c r="AK115"/>
      <c r="AL115"/>
      <c r="AM115"/>
      <c r="AN115"/>
    </row>
    <row r="116" spans="2:40" x14ac:dyDescent="0.25">
      <c r="B116" s="217">
        <f>DSCR!B45</f>
        <v>10.25</v>
      </c>
      <c r="C116" s="218"/>
      <c r="D116" s="218"/>
      <c r="E116" s="219">
        <f>DSCR!C45</f>
        <v>107.63450000000005</v>
      </c>
      <c r="F116" s="219">
        <f>DSCR!D45</f>
        <v>104.97499999999999</v>
      </c>
      <c r="H116" s="213">
        <v>35</v>
      </c>
      <c r="I116" s="220">
        <f t="shared" si="0"/>
        <v>10.25</v>
      </c>
      <c r="J116" s="221"/>
      <c r="K116" s="221"/>
      <c r="L116" s="222" t="e">
        <f t="shared" si="2"/>
        <v>#N/A</v>
      </c>
      <c r="M116" s="222" t="e">
        <f t="shared" si="3"/>
        <v>#N/A</v>
      </c>
      <c r="N116" s="399">
        <v>10.25</v>
      </c>
      <c r="Y116" s="397" t="s">
        <v>273</v>
      </c>
      <c r="Z116" s="402"/>
      <c r="AA116" s="397" t="s">
        <v>538</v>
      </c>
      <c r="AB116"/>
      <c r="AC116"/>
      <c r="AD116"/>
      <c r="AE116"/>
      <c r="AF116"/>
      <c r="AG116"/>
      <c r="AH116"/>
      <c r="AI116"/>
      <c r="AJ116"/>
      <c r="AK116"/>
      <c r="AL116"/>
      <c r="AM116"/>
      <c r="AN116"/>
    </row>
    <row r="117" spans="2:40" x14ac:dyDescent="0.25">
      <c r="B117" s="217">
        <f>DSCR!B46</f>
        <v>10.375</v>
      </c>
      <c r="C117" s="218"/>
      <c r="D117" s="218"/>
      <c r="E117" s="219">
        <f>DSCR!C46</f>
        <v>107.75950000000005</v>
      </c>
      <c r="F117" s="219">
        <f>DSCR!D46</f>
        <v>105.22499999999999</v>
      </c>
      <c r="H117" s="213">
        <v>36</v>
      </c>
      <c r="I117" s="220">
        <f t="shared" si="0"/>
        <v>10.375</v>
      </c>
      <c r="J117" s="221"/>
      <c r="K117" s="221"/>
      <c r="L117" s="222" t="e">
        <f t="shared" si="2"/>
        <v>#N/A</v>
      </c>
      <c r="M117" s="222" t="e">
        <f t="shared" si="3"/>
        <v>#N/A</v>
      </c>
      <c r="N117" s="399">
        <v>10.375</v>
      </c>
      <c r="Y117" s="397" t="s">
        <v>273</v>
      </c>
      <c r="Z117" s="402"/>
      <c r="AA117" s="397" t="s">
        <v>546</v>
      </c>
      <c r="AB117"/>
      <c r="AC117"/>
      <c r="AD117"/>
      <c r="AE117"/>
      <c r="AF117"/>
      <c r="AG117"/>
      <c r="AH117"/>
      <c r="AI117"/>
      <c r="AJ117"/>
      <c r="AK117"/>
      <c r="AL117"/>
      <c r="AM117"/>
      <c r="AN117"/>
    </row>
    <row r="118" spans="2:40" x14ac:dyDescent="0.25">
      <c r="B118" s="217">
        <f>DSCR!B47</f>
        <v>10.499000000000001</v>
      </c>
      <c r="C118" s="218"/>
      <c r="D118" s="218"/>
      <c r="E118" s="219">
        <f>DSCR!C47</f>
        <v>107.88450000000005</v>
      </c>
      <c r="F118" s="219">
        <f>DSCR!D47</f>
        <v>105.47499999999999</v>
      </c>
      <c r="H118" s="213">
        <v>37</v>
      </c>
      <c r="I118" s="220">
        <f t="shared" si="0"/>
        <v>10.499000000000001</v>
      </c>
      <c r="J118" s="221"/>
      <c r="K118" s="221"/>
      <c r="L118" s="222" t="e">
        <f t="shared" si="2"/>
        <v>#N/A</v>
      </c>
      <c r="M118" s="222" t="e">
        <f t="shared" si="3"/>
        <v>#N/A</v>
      </c>
      <c r="N118" s="399">
        <v>10.499000000000001</v>
      </c>
      <c r="Y118" s="397" t="s">
        <v>273</v>
      </c>
      <c r="Z118" s="402"/>
      <c r="AA118" s="397" t="s">
        <v>554</v>
      </c>
      <c r="AB118"/>
      <c r="AC118"/>
      <c r="AD118"/>
      <c r="AE118"/>
      <c r="AF118"/>
      <c r="AG118"/>
      <c r="AH118"/>
      <c r="AI118"/>
      <c r="AJ118"/>
      <c r="AK118"/>
      <c r="AL118"/>
      <c r="AM118"/>
      <c r="AN118"/>
    </row>
    <row r="119" spans="2:40" x14ac:dyDescent="0.25">
      <c r="B119" s="217">
        <f>DSCR!B48</f>
        <v>10.625</v>
      </c>
      <c r="C119" s="218"/>
      <c r="D119" s="218"/>
      <c r="E119" s="219">
        <f>DSCR!C48</f>
        <v>108.00950000000005</v>
      </c>
      <c r="F119" s="219">
        <f>DSCR!D48</f>
        <v>105.72499999999999</v>
      </c>
      <c r="H119" s="213">
        <v>38</v>
      </c>
      <c r="I119" s="220">
        <f t="shared" si="0"/>
        <v>10.625</v>
      </c>
      <c r="J119" s="221"/>
      <c r="K119" s="221"/>
      <c r="L119" s="222" t="e">
        <f t="shared" si="2"/>
        <v>#N/A</v>
      </c>
      <c r="M119" s="222" t="e">
        <f t="shared" si="3"/>
        <v>#N/A</v>
      </c>
      <c r="N119" s="399">
        <v>10.625</v>
      </c>
      <c r="P119" s="212"/>
      <c r="Y119" s="397" t="s">
        <v>273</v>
      </c>
      <c r="Z119" s="402"/>
      <c r="AA119" s="397" t="s">
        <v>562</v>
      </c>
      <c r="AB119"/>
      <c r="AC119"/>
      <c r="AD119"/>
      <c r="AE119"/>
      <c r="AF119"/>
      <c r="AG119"/>
      <c r="AH119"/>
      <c r="AI119"/>
      <c r="AJ119"/>
      <c r="AK119"/>
      <c r="AL119"/>
      <c r="AM119"/>
      <c r="AN119"/>
    </row>
    <row r="120" spans="2:40" x14ac:dyDescent="0.25">
      <c r="B120" s="217">
        <f>DSCR!B49</f>
        <v>0</v>
      </c>
      <c r="C120" s="218"/>
      <c r="D120" s="218"/>
      <c r="E120" s="219">
        <f>DSCR!C49</f>
        <v>0</v>
      </c>
      <c r="F120" s="219">
        <f>DSCR!D49</f>
        <v>0</v>
      </c>
      <c r="H120" s="213">
        <v>39</v>
      </c>
      <c r="I120" s="220">
        <f t="shared" si="0"/>
        <v>0</v>
      </c>
      <c r="J120" s="221"/>
      <c r="K120" s="221"/>
      <c r="L120" s="222" t="e">
        <f t="shared" si="2"/>
        <v>#N/A</v>
      </c>
      <c r="M120" s="222" t="e">
        <f t="shared" si="3"/>
        <v>#N/A</v>
      </c>
      <c r="N120" s="399">
        <v>0</v>
      </c>
      <c r="Y120" s="397" t="s">
        <v>273</v>
      </c>
      <c r="Z120" s="402"/>
      <c r="AA120" s="397" t="s">
        <v>572</v>
      </c>
      <c r="AB120"/>
      <c r="AC120"/>
      <c r="AD120"/>
      <c r="AE120"/>
      <c r="AF120"/>
      <c r="AG120"/>
      <c r="AH120"/>
      <c r="AI120"/>
      <c r="AJ120"/>
      <c r="AK120"/>
      <c r="AL120"/>
      <c r="AM120"/>
      <c r="AN120"/>
    </row>
    <row r="121" spans="2:40" x14ac:dyDescent="0.25">
      <c r="B121" s="217">
        <f>DSCR!B50</f>
        <v>0</v>
      </c>
      <c r="C121" s="218"/>
      <c r="D121" s="218"/>
      <c r="E121" s="219">
        <f>DSCR!C50</f>
        <v>0</v>
      </c>
      <c r="F121" s="219">
        <f>DSCR!D50</f>
        <v>0</v>
      </c>
      <c r="H121" s="213">
        <v>40</v>
      </c>
      <c r="I121" s="220">
        <f t="shared" si="0"/>
        <v>0</v>
      </c>
      <c r="J121" s="221"/>
      <c r="K121" s="221"/>
      <c r="L121" s="222" t="e">
        <f t="shared" si="2"/>
        <v>#N/A</v>
      </c>
      <c r="M121" s="222" t="e">
        <f t="shared" si="3"/>
        <v>#N/A</v>
      </c>
      <c r="N121" s="399">
        <v>0</v>
      </c>
      <c r="Y121" s="397" t="s">
        <v>273</v>
      </c>
      <c r="Z121" s="402"/>
      <c r="AA121" s="397" t="s">
        <v>581</v>
      </c>
      <c r="AB121"/>
      <c r="AC121"/>
      <c r="AD121"/>
      <c r="AE121"/>
      <c r="AF121"/>
      <c r="AG121"/>
      <c r="AH121"/>
      <c r="AI121"/>
      <c r="AJ121"/>
      <c r="AK121"/>
      <c r="AL121"/>
      <c r="AM121"/>
      <c r="AN121"/>
    </row>
    <row r="122" spans="2:40" ht="45" x14ac:dyDescent="0.25">
      <c r="B122" s="217"/>
      <c r="C122" s="218"/>
      <c r="D122" s="218"/>
      <c r="E122" s="219"/>
      <c r="F122" s="219"/>
      <c r="H122" s="213">
        <v>41</v>
      </c>
      <c r="I122" s="220">
        <f t="shared" si="0"/>
        <v>0</v>
      </c>
      <c r="J122" s="221"/>
      <c r="K122" s="221"/>
      <c r="L122" s="222" t="e">
        <f t="shared" si="2"/>
        <v>#N/A</v>
      </c>
      <c r="M122" s="222" t="e">
        <f t="shared" si="3"/>
        <v>#N/A</v>
      </c>
      <c r="N122" s="399">
        <v>0</v>
      </c>
      <c r="Y122" s="397" t="s">
        <v>273</v>
      </c>
      <c r="Z122" s="402"/>
      <c r="AA122" s="414" t="s">
        <v>589</v>
      </c>
      <c r="AB122"/>
      <c r="AC122"/>
      <c r="AD122"/>
      <c r="AE122"/>
      <c r="AF122"/>
      <c r="AG122"/>
      <c r="AH122"/>
      <c r="AI122"/>
      <c r="AJ122"/>
      <c r="AK122"/>
      <c r="AL122"/>
      <c r="AM122"/>
      <c r="AN122"/>
    </row>
    <row r="123" spans="2:40" x14ac:dyDescent="0.25">
      <c r="B123" s="217"/>
      <c r="C123" s="218"/>
      <c r="D123" s="218"/>
      <c r="E123" s="219"/>
      <c r="F123" s="219"/>
      <c r="H123" s="213">
        <v>42</v>
      </c>
      <c r="I123" s="220">
        <f t="shared" si="0"/>
        <v>0</v>
      </c>
      <c r="J123" s="221"/>
      <c r="K123" s="221"/>
      <c r="L123" s="222" t="e">
        <f t="shared" si="2"/>
        <v>#N/A</v>
      </c>
      <c r="M123" s="222" t="e">
        <f t="shared" si="3"/>
        <v>#N/A</v>
      </c>
      <c r="N123" s="399">
        <v>0</v>
      </c>
      <c r="P123" s="228"/>
      <c r="Y123" s="397" t="s">
        <v>273</v>
      </c>
      <c r="Z123" s="402"/>
      <c r="AA123" s="397" t="s">
        <v>598</v>
      </c>
      <c r="AB123"/>
      <c r="AC123"/>
      <c r="AD123"/>
      <c r="AE123"/>
      <c r="AF123"/>
      <c r="AG123"/>
      <c r="AH123"/>
      <c r="AI123"/>
      <c r="AJ123"/>
      <c r="AK123"/>
      <c r="AL123"/>
      <c r="AM123"/>
      <c r="AN123"/>
    </row>
    <row r="124" spans="2:40" x14ac:dyDescent="0.25">
      <c r="B124" s="217"/>
      <c r="C124" s="218"/>
      <c r="D124" s="218"/>
      <c r="E124" s="219"/>
      <c r="F124" s="219"/>
      <c r="H124" s="213">
        <v>43</v>
      </c>
      <c r="I124" s="220">
        <f t="shared" si="0"/>
        <v>0</v>
      </c>
      <c r="J124" s="221"/>
      <c r="K124" s="221"/>
      <c r="L124" s="222" t="e">
        <f t="shared" si="2"/>
        <v>#N/A</v>
      </c>
      <c r="M124" s="222" t="e">
        <f t="shared" si="3"/>
        <v>#N/A</v>
      </c>
      <c r="N124" s="189">
        <v>0</v>
      </c>
      <c r="O124"/>
      <c r="P124"/>
      <c r="Y124" s="402"/>
      <c r="Z124" s="402" t="str">
        <f>IF(AND(
   ISNUMBER(MATCH(DSCR!$S$15, $D$18:$D$19, 0)),
   ISNUMBER(MATCH(DSCR!$S$13, $C$5:$C$8))), NA(), "")</f>
        <v/>
      </c>
      <c r="AA124" s="400"/>
      <c r="AB124"/>
      <c r="AC124"/>
      <c r="AD124"/>
      <c r="AE124"/>
      <c r="AF124"/>
      <c r="AG124"/>
      <c r="AH124"/>
      <c r="AI124"/>
      <c r="AJ124"/>
      <c r="AK124"/>
      <c r="AL124"/>
      <c r="AM124"/>
      <c r="AN124"/>
    </row>
    <row r="125" spans="2:40" ht="15.75" thickBot="1" x14ac:dyDescent="0.3">
      <c r="H125" s="162">
        <v>44</v>
      </c>
      <c r="M125"/>
      <c r="O125"/>
      <c r="P125"/>
      <c r="AA125"/>
      <c r="AB125"/>
      <c r="AC125"/>
      <c r="AD125"/>
      <c r="AE125"/>
      <c r="AF125"/>
      <c r="AG125"/>
      <c r="AH125"/>
      <c r="AI125"/>
      <c r="AJ125"/>
      <c r="AK125"/>
      <c r="AL125"/>
      <c r="AM125"/>
      <c r="AN125"/>
    </row>
    <row r="126" spans="2:40" x14ac:dyDescent="0.25">
      <c r="G126" s="162" t="s">
        <v>634</v>
      </c>
      <c r="J126" s="229"/>
      <c r="K126" s="230"/>
      <c r="L126" s="231" t="e" cm="1">
        <f t="array" aca="1" ref="L126" ca="1">IF(IFERROR(INDEX(OFFSET(L82:L121,0,-3),MATCH(TRUE,($L$82:$L$121)&gt;=IF(E147&gt;100,100,E147),0)),MAX(I82:I121))&lt;E152,INDEX(H82:H121,MATCH(E152,I82:I121,0)),IFERROR(INDEX(OFFSET(L82:L121,0,-4),MATCH(TRUE,($L$82:$L$121)&gt;=IF(E147&gt;100,100,E147),0)),INDEX(OFFSET($L$82:$L$121,0,-4),MATCH(MAX($L$82:$L$121),$L$82:$L$121,0))))</f>
        <v>#N/A</v>
      </c>
      <c r="M126" s="231" t="e" cm="1">
        <f t="array" aca="1" ref="M126" ca="1">IF(IFERROR(INDEX(OFFSET(M82:M121,0,-4),MATCH(TRUE,($M$82:$M$121)&gt;=IF(E147&gt;100,100,E147),0)),MAX(I82:I121))&lt;E152,INDEX(H82:H121,MATCH(E152,I82:I121,0)),IFERROR(INDEX(OFFSET(M82:M121,0,-5),MATCH(TRUE,($M$82:$M$121)&gt;=IF(E147&gt;100,100,E147),0)),INDEX(OFFSET($M$82:$M$121,0,-5),MATCH(MAX($M$82:$M$121),$M$82:$M$121,0))))</f>
        <v>#N/A</v>
      </c>
      <c r="O126"/>
      <c r="P126"/>
      <c r="Q126"/>
      <c r="AA126"/>
      <c r="AB126"/>
      <c r="AC126"/>
      <c r="AD126"/>
      <c r="AE126"/>
      <c r="AF126"/>
      <c r="AG126"/>
      <c r="AH126"/>
      <c r="AI126"/>
      <c r="AJ126"/>
      <c r="AK126"/>
      <c r="AL126"/>
      <c r="AM126"/>
      <c r="AN126"/>
    </row>
    <row r="127" spans="2:40" x14ac:dyDescent="0.25">
      <c r="I127" s="162" t="s">
        <v>635</v>
      </c>
      <c r="J127" s="232"/>
      <c r="K127" s="233"/>
      <c r="L127" s="234" t="e">
        <f ca="1">VLOOKUP(L126,H82:L125,2,FALSE)</f>
        <v>#N/A</v>
      </c>
      <c r="M127" s="234" t="e">
        <f ca="1">VLOOKUP(M126,H82:M124,2,FALSE)</f>
        <v>#N/A</v>
      </c>
      <c r="O127"/>
      <c r="P127"/>
      <c r="AA127"/>
      <c r="AB127"/>
      <c r="AC127"/>
      <c r="AD127"/>
      <c r="AE127"/>
      <c r="AF127"/>
      <c r="AG127"/>
      <c r="AH127"/>
      <c r="AI127"/>
      <c r="AJ127"/>
      <c r="AK127"/>
      <c r="AL127"/>
      <c r="AM127"/>
      <c r="AN127"/>
    </row>
    <row r="128" spans="2:40" ht="15.75" thickBot="1" x14ac:dyDescent="0.3">
      <c r="B128"/>
      <c r="C128"/>
      <c r="D128"/>
      <c r="E128" s="499"/>
      <c r="F128"/>
      <c r="J128" s="235"/>
      <c r="K128" s="236"/>
      <c r="L128" s="237" t="e">
        <f ca="1">IF(DSCR!S24='Feed(DSCR)'!M81,0,IF(G89=L81,L127,0))</f>
        <v>#N/A</v>
      </c>
      <c r="M128" s="237">
        <f>IF(AND(G89=L81,DSCR!S24='Feed(DSCR)'!M81),M127,0)</f>
        <v>0</v>
      </c>
      <c r="N128"/>
      <c r="O128"/>
      <c r="P128"/>
      <c r="AA128"/>
      <c r="AB128"/>
      <c r="AC128"/>
      <c r="AD128"/>
      <c r="AE128"/>
      <c r="AF128"/>
      <c r="AG128"/>
      <c r="AH128"/>
      <c r="AI128"/>
      <c r="AJ128"/>
      <c r="AK128"/>
      <c r="AL128"/>
      <c r="AM128"/>
      <c r="AN128"/>
    </row>
    <row r="129" spans="1:40" x14ac:dyDescent="0.25">
      <c r="B129" s="852" t="str">
        <f>DSCR!Q55</f>
        <v>Max Price</v>
      </c>
      <c r="C129" s="853"/>
      <c r="D129" s="853"/>
      <c r="E129" s="238" t="s">
        <v>636</v>
      </c>
      <c r="F129"/>
      <c r="J129" s="232"/>
      <c r="K129" s="233"/>
      <c r="L129" s="239" t="e">
        <f ca="1">VLOOKUP(L126,H82:L125,5,FALSE)</f>
        <v>#N/A</v>
      </c>
      <c r="M129" s="239" t="e">
        <f ca="1">VLOOKUP(M126,H82:M125,6,FALSE)</f>
        <v>#N/A</v>
      </c>
      <c r="N129"/>
      <c r="O129"/>
      <c r="P129"/>
      <c r="AA129"/>
      <c r="AB129"/>
      <c r="AC129"/>
      <c r="AD129"/>
      <c r="AE129"/>
      <c r="AF129"/>
      <c r="AG129"/>
      <c r="AH129"/>
      <c r="AI129"/>
      <c r="AJ129"/>
      <c r="AK129"/>
      <c r="AL129"/>
      <c r="AM129"/>
      <c r="AN129"/>
    </row>
    <row r="130" spans="1:40" ht="15.75" thickBot="1" x14ac:dyDescent="0.3">
      <c r="B130" s="900" t="str">
        <f>NonQM!S56</f>
        <v>Owner/2nd Home</v>
      </c>
      <c r="C130" s="901"/>
      <c r="D130" s="417"/>
      <c r="E130" s="492"/>
      <c r="F130"/>
      <c r="J130" s="243"/>
      <c r="K130" s="244"/>
      <c r="L130" s="245" t="e">
        <f ca="1">IF(DSCR!S24='Feed(DSCR)'!M81,0,IF(G89=L81,L129,0))</f>
        <v>#N/A</v>
      </c>
      <c r="M130" s="246">
        <f>IF(AND(G89=L81,DSCR!S24='Feed(DSCR)'!M81),M129,0)</f>
        <v>0</v>
      </c>
      <c r="N130" s="212" t="e">
        <f ca="1">SUM(J128:M128)</f>
        <v>#N/A</v>
      </c>
      <c r="O130"/>
      <c r="P130"/>
      <c r="AA130"/>
      <c r="AB130"/>
      <c r="AC130"/>
      <c r="AD130"/>
      <c r="AE130"/>
      <c r="AF130"/>
      <c r="AG130"/>
      <c r="AH130"/>
      <c r="AI130"/>
      <c r="AJ130"/>
      <c r="AK130"/>
      <c r="AL130"/>
      <c r="AM130"/>
      <c r="AN130"/>
    </row>
    <row r="131" spans="1:40" x14ac:dyDescent="0.25">
      <c r="B131" s="900"/>
      <c r="C131" s="901"/>
      <c r="D131" s="417"/>
      <c r="E131" s="492"/>
      <c r="F131"/>
      <c r="AA131"/>
      <c r="AB131"/>
      <c r="AC131"/>
      <c r="AD131"/>
      <c r="AE131"/>
      <c r="AF131"/>
      <c r="AG131"/>
      <c r="AH131"/>
      <c r="AI131"/>
      <c r="AJ131"/>
      <c r="AK131"/>
      <c r="AL131"/>
      <c r="AM131"/>
      <c r="AN131"/>
    </row>
    <row r="132" spans="1:40" x14ac:dyDescent="0.25">
      <c r="B132" s="843" t="str">
        <f>NonQM!S58</f>
        <v>80.01-90.00% LTV</v>
      </c>
      <c r="C132" s="844"/>
      <c r="D132" s="388">
        <f>DSCR!R59</f>
        <v>101</v>
      </c>
      <c r="E132" s="493" t="str" cm="1">
        <f t="array" ref="E132">IF(OR(DSCR!S11=B10:B11),D132,"")</f>
        <v/>
      </c>
      <c r="F132"/>
      <c r="N132" s="212" t="e">
        <f ca="1">SUM(J130:M130)</f>
        <v>#N/A</v>
      </c>
      <c r="AA132"/>
      <c r="AB132"/>
      <c r="AC132"/>
      <c r="AD132"/>
      <c r="AE132"/>
      <c r="AF132"/>
      <c r="AG132"/>
      <c r="AH132"/>
      <c r="AI132"/>
      <c r="AJ132"/>
      <c r="AK132"/>
      <c r="AL132"/>
      <c r="AM132"/>
      <c r="AN132"/>
    </row>
    <row r="133" spans="1:40" ht="15.75" thickBot="1" x14ac:dyDescent="0.3">
      <c r="A133" s="162" t="s">
        <v>177</v>
      </c>
      <c r="B133" s="843" t="str">
        <f>DSCR!Q60</f>
        <v>ITIN/Foreign National</v>
      </c>
      <c r="C133" s="844"/>
      <c r="D133" s="388">
        <f>DSCR!R60</f>
        <v>100.5</v>
      </c>
      <c r="E133" s="493" t="str" cm="1">
        <f t="array" ref="E133">IF(OR(DSCR!S19=P6:P7),D133,"")</f>
        <v/>
      </c>
      <c r="F133"/>
      <c r="G133"/>
      <c r="H133"/>
      <c r="I133"/>
      <c r="J133"/>
      <c r="K133"/>
      <c r="L133"/>
      <c r="M133"/>
      <c r="AA133"/>
      <c r="AB133"/>
      <c r="AC133"/>
      <c r="AD133"/>
      <c r="AE133"/>
      <c r="AF133"/>
      <c r="AG133"/>
      <c r="AH133"/>
      <c r="AI133"/>
      <c r="AJ133"/>
      <c r="AK133"/>
      <c r="AL133"/>
      <c r="AM133"/>
      <c r="AN133"/>
    </row>
    <row r="134" spans="1:40" x14ac:dyDescent="0.25">
      <c r="B134" s="843" t="str">
        <f>NonQM!S60</f>
        <v>Subord Financing</v>
      </c>
      <c r="C134" s="844"/>
      <c r="D134" s="388">
        <f>DSCR!R61</f>
        <v>100</v>
      </c>
      <c r="E134" s="493" t="str">
        <f>IF(OR(DSCR!S32=S4),D134,"")</f>
        <v/>
      </c>
      <c r="F134"/>
      <c r="G134"/>
      <c r="H134"/>
      <c r="I134" s="845" t="s">
        <v>637</v>
      </c>
      <c r="J134" s="846"/>
      <c r="K134" s="247" t="e">
        <f ca="1">IF(L134="","",N130)</f>
        <v>#N/A</v>
      </c>
      <c r="L134" s="248" t="e">
        <f ca="1">IF(N132&gt;E147,E147,N132)</f>
        <v>#N/A</v>
      </c>
      <c r="M134"/>
      <c r="X134"/>
      <c r="Y134"/>
      <c r="Z134"/>
      <c r="AA134"/>
      <c r="AB134"/>
      <c r="AC134"/>
      <c r="AD134"/>
      <c r="AE134"/>
      <c r="AF134"/>
      <c r="AG134"/>
      <c r="AH134"/>
      <c r="AI134"/>
      <c r="AJ134"/>
      <c r="AK134"/>
    </row>
    <row r="135" spans="1:40" ht="15.75" thickBot="1" x14ac:dyDescent="0.3">
      <c r="B135" s="843" t="str">
        <f>DSCR!Q62</f>
        <v>No PPP</v>
      </c>
      <c r="C135" s="844"/>
      <c r="D135" s="388">
        <f>DSCR!R62</f>
        <v>100</v>
      </c>
      <c r="E135" s="493" t="str">
        <f>IF(AND(ISNUMBER(MATCH(DSCR!S23, L5:L6, 0)),OR(ISNUMBER(MATCH(DSCR!S27, H3:H4, 0)),)), D135, "")</f>
        <v/>
      </c>
      <c r="F135"/>
      <c r="G135"/>
      <c r="H135"/>
      <c r="I135" s="850"/>
      <c r="J135" s="851"/>
      <c r="K135" s="249"/>
      <c r="L135" s="250"/>
      <c r="M135"/>
      <c r="X135"/>
      <c r="Y135"/>
      <c r="Z135"/>
      <c r="AA135"/>
      <c r="AB135"/>
      <c r="AC135"/>
      <c r="AD135"/>
      <c r="AE135"/>
      <c r="AF135"/>
      <c r="AG135"/>
      <c r="AH135"/>
      <c r="AI135"/>
      <c r="AJ135"/>
      <c r="AK135"/>
    </row>
    <row r="136" spans="1:40" x14ac:dyDescent="0.25">
      <c r="A136" s="162" t="s">
        <v>177</v>
      </c>
      <c r="B136" s="843" t="str">
        <f>DSCR!Q63</f>
        <v>12 Months PPP</v>
      </c>
      <c r="C136" s="844"/>
      <c r="D136" s="388">
        <f>DSCR!R63</f>
        <v>101.5</v>
      </c>
      <c r="E136" s="493" t="str">
        <f>IF(AND(ISNUMBER(MATCH(DSCR!S23, L5:L6, 0)),OR(ISNUMBER(MATCH(DSCR!S27, H5, 0)),ISNUMBER(MATCH(DSCR!S27, H10, 0)))), D136, "")</f>
        <v/>
      </c>
      <c r="F136"/>
      <c r="G136"/>
      <c r="H136"/>
      <c r="I136" s="251"/>
      <c r="J136" s="251"/>
      <c r="K136" s="252"/>
      <c r="L136" s="252"/>
      <c r="M136"/>
      <c r="X136"/>
      <c r="Y136"/>
      <c r="Z136"/>
      <c r="AA136"/>
      <c r="AB136"/>
      <c r="AC136"/>
      <c r="AD136"/>
      <c r="AE136"/>
      <c r="AF136"/>
      <c r="AG136"/>
      <c r="AH136"/>
      <c r="AI136"/>
      <c r="AJ136"/>
      <c r="AK136"/>
    </row>
    <row r="137" spans="1:40" x14ac:dyDescent="0.25">
      <c r="A137" s="162" t="s">
        <v>638</v>
      </c>
      <c r="B137" s="843" t="str">
        <f>DSCR!Q64</f>
        <v>24 Months PPP</v>
      </c>
      <c r="C137" s="844"/>
      <c r="D137" s="388">
        <f>DSCR!R64</f>
        <v>102</v>
      </c>
      <c r="E137" s="493" t="str">
        <f>IF(AND(ISNUMBER(MATCH(DSCR!S23,L5:L6,0)),OR(ISNUMBER(MATCH(DSCR!S27,H6,0)),ISNUMBER(MATCH(DSCR!S27,H11,0)))),D137,"")</f>
        <v/>
      </c>
      <c r="F137"/>
      <c r="G137"/>
      <c r="H137"/>
      <c r="I137"/>
      <c r="J137"/>
      <c r="K137"/>
      <c r="L137"/>
      <c r="M137"/>
      <c r="X137"/>
      <c r="Y137"/>
      <c r="Z137"/>
      <c r="AA137"/>
      <c r="AB137"/>
      <c r="AC137"/>
      <c r="AD137"/>
      <c r="AE137"/>
      <c r="AF137"/>
      <c r="AG137"/>
      <c r="AH137"/>
      <c r="AI137"/>
      <c r="AJ137"/>
      <c r="AK137"/>
    </row>
    <row r="138" spans="1:40" x14ac:dyDescent="0.25">
      <c r="A138" s="162" t="s">
        <v>177</v>
      </c>
      <c r="B138" s="843" t="str">
        <f>DSCR!Q56</f>
        <v>36-60 Months PPP</v>
      </c>
      <c r="C138" s="844"/>
      <c r="D138" s="387">
        <f>DSCR!R56</f>
        <v>102.5</v>
      </c>
      <c r="E138" s="493" t="str">
        <f>IF(AND(ISNUMBER(MATCH(DSCR!S23, L5:L6, 0)),OR(ISNUMBER(MATCH(DSCR!S27, H7:H9, 0)),ISNUMBER(MATCH(DSCR!S27, H12:H14, 0)))), D138, "")</f>
        <v/>
      </c>
      <c r="F138"/>
      <c r="G138"/>
      <c r="H138"/>
      <c r="I138"/>
      <c r="J138"/>
      <c r="K138"/>
      <c r="L138"/>
      <c r="M138"/>
      <c r="X138"/>
      <c r="Y138"/>
      <c r="Z138"/>
      <c r="AA138"/>
      <c r="AB138"/>
      <c r="AC138"/>
      <c r="AD138"/>
      <c r="AE138"/>
      <c r="AF138"/>
      <c r="AG138"/>
      <c r="AH138"/>
      <c r="AI138"/>
      <c r="AJ138"/>
      <c r="AK138"/>
    </row>
    <row r="139" spans="1:40" x14ac:dyDescent="0.25">
      <c r="A139" s="162" t="s">
        <v>638</v>
      </c>
      <c r="B139" s="843" t="str">
        <f>DSCR!Q57</f>
        <v>&gt;$2,000,000</v>
      </c>
      <c r="C139" s="844"/>
      <c r="D139" s="387">
        <f>DSCR!R57</f>
        <v>100.75</v>
      </c>
      <c r="E139" s="493" t="str" cm="1">
        <f t="array" ref="E139">IF(OR(DSCR!S20=G8:G12),D139,"")</f>
        <v/>
      </c>
      <c r="F139"/>
      <c r="G139"/>
      <c r="H139"/>
      <c r="I139"/>
      <c r="J139"/>
      <c r="K139"/>
      <c r="L139"/>
      <c r="M139"/>
      <c r="X139"/>
      <c r="Y139"/>
      <c r="Z139"/>
      <c r="AA139"/>
      <c r="AB139"/>
      <c r="AC139"/>
      <c r="AD139"/>
      <c r="AE139"/>
      <c r="AF139"/>
      <c r="AG139"/>
      <c r="AH139"/>
      <c r="AI139"/>
      <c r="AJ139"/>
      <c r="AK139"/>
    </row>
    <row r="140" spans="1:40" x14ac:dyDescent="0.25">
      <c r="A140" s="162" t="s">
        <v>177</v>
      </c>
      <c r="B140" s="843" t="str">
        <f>DSCR!Q58</f>
        <v>&gt;$2,500,000</v>
      </c>
      <c r="C140" s="844"/>
      <c r="D140" s="387">
        <f>DSCR!R58</f>
        <v>100.5</v>
      </c>
      <c r="E140" s="493" t="str" cm="1">
        <f t="array" ref="E140">IF(OR(DSCR!S20=G9:G12),D140,"")</f>
        <v/>
      </c>
      <c r="F140"/>
      <c r="G140"/>
      <c r="H140"/>
      <c r="I140"/>
      <c r="J140"/>
      <c r="K140"/>
      <c r="L140"/>
      <c r="M140"/>
    </row>
    <row r="141" spans="1:40" x14ac:dyDescent="0.25">
      <c r="B141" s="843" t="str">
        <f>DSCR!Q66</f>
        <v>DSCR 5-8 Units</v>
      </c>
      <c r="C141" s="844"/>
      <c r="D141" s="387">
        <f>DSCR!R66</f>
        <v>100</v>
      </c>
      <c r="E141" s="493" t="str">
        <f>IF(OR(DSCR!S24=K10),D141,"")</f>
        <v/>
      </c>
      <c r="F141"/>
      <c r="G141"/>
      <c r="H141"/>
      <c r="I141"/>
      <c r="J141"/>
      <c r="K141"/>
      <c r="L141"/>
      <c r="M141"/>
    </row>
    <row r="142" spans="1:40" x14ac:dyDescent="0.25">
      <c r="A142" s="162" t="s">
        <v>177</v>
      </c>
      <c r="B142" s="843" t="str">
        <f>DSCR!Q65</f>
        <v>NJ Title Vested in LLC</v>
      </c>
      <c r="C142" s="844"/>
      <c r="D142" s="387">
        <f>DSCR!R65</f>
        <v>100</v>
      </c>
      <c r="E142" s="494" t="str">
        <f>IF(OR(DSCR!S28=J15),D142,"")</f>
        <v/>
      </c>
      <c r="F142"/>
      <c r="G142"/>
      <c r="H142"/>
      <c r="I142"/>
      <c r="J142"/>
      <c r="K142"/>
      <c r="L142"/>
      <c r="M142"/>
    </row>
    <row r="143" spans="1:40" x14ac:dyDescent="0.25">
      <c r="B143" s="843">
        <f>DSCR!Q67</f>
        <v>0</v>
      </c>
      <c r="C143" s="844"/>
      <c r="D143" s="387">
        <f>DSCR!R67</f>
        <v>0</v>
      </c>
      <c r="E143" s="494" t="str">
        <f>IF(AND(DSCR!S29=T16,OR(DSCR!S23=L6),DSCR!S27=H3),D143,"")</f>
        <v/>
      </c>
      <c r="F143"/>
      <c r="G143"/>
      <c r="H143"/>
      <c r="I143"/>
      <c r="J143"/>
      <c r="K143"/>
      <c r="L143"/>
      <c r="M143"/>
    </row>
    <row r="144" spans="1:40" x14ac:dyDescent="0.25">
      <c r="B144" s="900"/>
      <c r="C144" s="901"/>
      <c r="D144" s="417"/>
      <c r="E144" s="492"/>
      <c r="F144"/>
      <c r="G144"/>
      <c r="H144"/>
      <c r="I144"/>
      <c r="J144"/>
      <c r="K144"/>
      <c r="L144"/>
      <c r="M144"/>
    </row>
    <row r="145" spans="2:23" x14ac:dyDescent="0.25">
      <c r="B145" s="415"/>
      <c r="C145" s="416"/>
      <c r="D145" s="417"/>
      <c r="E145" s="492"/>
      <c r="F145"/>
      <c r="G145"/>
      <c r="H145"/>
      <c r="I145"/>
      <c r="J145"/>
      <c r="K145"/>
      <c r="L145"/>
      <c r="M145"/>
    </row>
    <row r="146" spans="2:23" ht="15.75" thickBot="1" x14ac:dyDescent="0.3">
      <c r="B146" s="415"/>
      <c r="C146" s="416"/>
      <c r="D146" s="417"/>
      <c r="E146" s="495"/>
      <c r="F146"/>
      <c r="G146"/>
      <c r="H146"/>
      <c r="I146"/>
      <c r="J146"/>
      <c r="K146"/>
      <c r="L146"/>
      <c r="M146"/>
    </row>
    <row r="147" spans="2:23" ht="15.75" thickBot="1" x14ac:dyDescent="0.3">
      <c r="D147" s="172" t="s">
        <v>639</v>
      </c>
      <c r="E147" s="253">
        <f>IF(E146&lt;&gt;"",E146,IF(E144&lt;&gt;"",E144,MIN(E130:E143)))</f>
        <v>0</v>
      </c>
      <c r="F147"/>
      <c r="G147"/>
      <c r="H147"/>
      <c r="I147"/>
      <c r="J147"/>
      <c r="K147"/>
      <c r="L147"/>
      <c r="M147"/>
    </row>
    <row r="148" spans="2:23" ht="15.75" thickBot="1" x14ac:dyDescent="0.3">
      <c r="F148"/>
      <c r="G148"/>
      <c r="H148"/>
      <c r="I148"/>
      <c r="J148"/>
      <c r="K148"/>
      <c r="L148"/>
      <c r="M148"/>
    </row>
    <row r="149" spans="2:23" x14ac:dyDescent="0.25">
      <c r="B149" s="254" t="s">
        <v>140</v>
      </c>
      <c r="C149" s="255"/>
      <c r="D149" s="256"/>
      <c r="E149" s="238" t="s">
        <v>636</v>
      </c>
      <c r="F149"/>
      <c r="G149"/>
      <c r="H149"/>
      <c r="I149"/>
      <c r="J149"/>
      <c r="K149"/>
      <c r="L149"/>
      <c r="M149"/>
    </row>
    <row r="150" spans="2:23" ht="15.75" thickBot="1" x14ac:dyDescent="0.3">
      <c r="B150" s="418" t="str">
        <f>DSCR!Q69</f>
        <v>&gt;$2,500,000</v>
      </c>
      <c r="C150" s="419"/>
      <c r="D150" s="420">
        <f>DSCR!R69</f>
        <v>6.625</v>
      </c>
      <c r="E150" s="493" t="str" cm="1">
        <f t="array" ref="E150">IF(OR(DSCR!S20=G9:G12),D150,"")</f>
        <v/>
      </c>
      <c r="F150"/>
      <c r="G150"/>
      <c r="H150"/>
      <c r="I150"/>
      <c r="J150"/>
      <c r="K150"/>
      <c r="L150"/>
      <c r="M150"/>
    </row>
    <row r="151" spans="2:23" ht="15.75" thickBot="1" x14ac:dyDescent="0.3">
      <c r="B151" s="418" t="str">
        <f>DSCR!Q70</f>
        <v>ITIN/Foreign National</v>
      </c>
      <c r="C151" s="419"/>
      <c r="D151" s="420">
        <f>DSCR!R70</f>
        <v>7.375</v>
      </c>
      <c r="E151" s="493" t="str" cm="1">
        <f t="array" ref="E151">IF(OR(DSCR!S19=P6:P7),D151,"")</f>
        <v/>
      </c>
      <c r="F151"/>
      <c r="G151"/>
      <c r="H151"/>
      <c r="I151"/>
      <c r="J151"/>
      <c r="K151"/>
      <c r="L151"/>
      <c r="M151"/>
    </row>
    <row r="152" spans="2:23" ht="15.75" thickBot="1" x14ac:dyDescent="0.3">
      <c r="D152" s="172" t="s">
        <v>639</v>
      </c>
      <c r="E152" s="253">
        <f>MIN(E150:E151)</f>
        <v>0</v>
      </c>
      <c r="F152"/>
      <c r="G152"/>
      <c r="H152"/>
      <c r="I152"/>
      <c r="J152"/>
      <c r="K152"/>
      <c r="L152"/>
      <c r="M152"/>
    </row>
    <row r="153" spans="2:23" x14ac:dyDescent="0.25">
      <c r="F153"/>
      <c r="G153"/>
      <c r="H153"/>
      <c r="I153"/>
      <c r="J153"/>
      <c r="K153"/>
      <c r="L153"/>
      <c r="M153"/>
    </row>
    <row r="154" spans="2:23" x14ac:dyDescent="0.25">
      <c r="B154"/>
      <c r="C154"/>
      <c r="D154"/>
      <c r="E154" s="499"/>
      <c r="F154"/>
      <c r="G154"/>
      <c r="H154"/>
      <c r="I154"/>
      <c r="J154"/>
      <c r="K154"/>
      <c r="L154"/>
      <c r="M154"/>
    </row>
    <row r="155" spans="2:23" x14ac:dyDescent="0.25">
      <c r="B155"/>
      <c r="C155"/>
      <c r="D155"/>
      <c r="E155" s="499"/>
      <c r="F155"/>
      <c r="G155"/>
      <c r="H155"/>
      <c r="I155"/>
      <c r="J155"/>
      <c r="K155"/>
      <c r="L155"/>
      <c r="M155"/>
    </row>
    <row r="156" spans="2:23" x14ac:dyDescent="0.25">
      <c r="B156"/>
      <c r="C156"/>
      <c r="D156"/>
      <c r="E156" s="499"/>
      <c r="F156"/>
      <c r="G156"/>
      <c r="H156"/>
      <c r="I156"/>
      <c r="J156"/>
      <c r="K156"/>
      <c r="L156"/>
      <c r="M156"/>
    </row>
    <row r="157" spans="2:23" x14ac:dyDescent="0.25">
      <c r="B157"/>
      <c r="C157"/>
      <c r="D157"/>
      <c r="E157" s="499"/>
      <c r="F157"/>
      <c r="G157"/>
      <c r="H157"/>
      <c r="I157"/>
      <c r="J157"/>
      <c r="K157"/>
      <c r="L157"/>
      <c r="M157"/>
    </row>
    <row r="158" spans="2:23" ht="15.75" thickBot="1" x14ac:dyDescent="0.3">
      <c r="B158"/>
      <c r="C158"/>
      <c r="D158"/>
      <c r="E158" s="499"/>
      <c r="F158"/>
      <c r="G158"/>
      <c r="H158"/>
      <c r="I158"/>
      <c r="J158"/>
      <c r="K158"/>
      <c r="L158"/>
      <c r="M158"/>
    </row>
    <row r="159" spans="2:23" ht="15.75" thickBot="1" x14ac:dyDescent="0.3">
      <c r="B159"/>
      <c r="C159"/>
      <c r="D159"/>
      <c r="E159" s="499"/>
      <c r="F159"/>
      <c r="G159"/>
      <c r="H159"/>
      <c r="I159"/>
      <c r="J159"/>
      <c r="K159"/>
      <c r="L159"/>
      <c r="M159"/>
      <c r="T159" s="473" t="s">
        <v>767</v>
      </c>
      <c r="U159" s="172"/>
      <c r="V159" s="172"/>
      <c r="W159" s="172"/>
    </row>
    <row r="160" spans="2:23" ht="12" customHeight="1" x14ac:dyDescent="0.25">
      <c r="B160"/>
      <c r="C160"/>
      <c r="D160"/>
      <c r="E160" s="499"/>
      <c r="F160"/>
      <c r="G160"/>
      <c r="H160"/>
      <c r="I160"/>
      <c r="J160"/>
      <c r="K160"/>
      <c r="L160"/>
      <c r="M160"/>
      <c r="T160" s="473" t="s">
        <v>32</v>
      </c>
      <c r="U160" s="473" t="s">
        <v>767</v>
      </c>
      <c r="V160" s="474"/>
      <c r="W160" s="475"/>
    </row>
    <row r="161" spans="2:23" ht="12" customHeight="1" x14ac:dyDescent="0.25">
      <c r="B161" s="793" t="s">
        <v>12</v>
      </c>
      <c r="C161" s="794"/>
      <c r="D161" s="25" t="s">
        <v>13</v>
      </c>
      <c r="E161" s="25" t="s">
        <v>14</v>
      </c>
      <c r="F161" s="25" t="s">
        <v>15</v>
      </c>
      <c r="G161" s="25" t="s">
        <v>16</v>
      </c>
      <c r="H161" s="25" t="s">
        <v>17</v>
      </c>
      <c r="I161" s="25" t="s">
        <v>18</v>
      </c>
      <c r="J161" s="25" t="s">
        <v>19</v>
      </c>
      <c r="K161" s="25" t="s">
        <v>20</v>
      </c>
      <c r="L161" s="24" t="s">
        <v>21</v>
      </c>
      <c r="M161"/>
      <c r="O161" s="162" t="s">
        <v>640</v>
      </c>
      <c r="T161" s="479" t="s">
        <v>768</v>
      </c>
      <c r="U161" s="479" t="s">
        <v>768</v>
      </c>
      <c r="V161" s="480" t="s">
        <v>779</v>
      </c>
      <c r="W161" s="481">
        <v>0</v>
      </c>
    </row>
    <row r="162" spans="2:23" ht="12" customHeight="1" x14ac:dyDescent="0.25">
      <c r="B162" s="635" t="s">
        <v>96</v>
      </c>
      <c r="C162" s="636"/>
      <c r="D162" s="636"/>
      <c r="E162" s="636"/>
      <c r="F162" s="636"/>
      <c r="G162" s="636"/>
      <c r="H162" s="636"/>
      <c r="I162" s="636"/>
      <c r="J162" s="636"/>
      <c r="K162" s="636"/>
      <c r="L162" s="637"/>
      <c r="M162"/>
      <c r="N162" s="172" t="s">
        <v>32</v>
      </c>
      <c r="O162" s="382"/>
      <c r="P162" s="383"/>
      <c r="Q162" s="383"/>
      <c r="R162" s="383"/>
      <c r="T162" s="479" t="s">
        <v>769</v>
      </c>
      <c r="U162" s="479" t="s">
        <v>769</v>
      </c>
      <c r="V162" s="480" t="s">
        <v>780</v>
      </c>
      <c r="W162" s="481">
        <v>0.15</v>
      </c>
    </row>
    <row r="163" spans="2:23" ht="12" customHeight="1" x14ac:dyDescent="0.25">
      <c r="B163" s="378" t="s">
        <v>214</v>
      </c>
      <c r="C163" s="379"/>
      <c r="D163" s="44">
        <v>0</v>
      </c>
      <c r="E163" s="44">
        <v>0</v>
      </c>
      <c r="F163" s="44">
        <v>0</v>
      </c>
      <c r="G163" s="44">
        <v>0</v>
      </c>
      <c r="H163" s="44">
        <v>0</v>
      </c>
      <c r="I163" s="44">
        <v>0</v>
      </c>
      <c r="J163" s="44">
        <v>0</v>
      </c>
      <c r="K163" s="44">
        <v>0</v>
      </c>
      <c r="L163" s="45" t="e">
        <v>#N/A</v>
      </c>
      <c r="M163"/>
      <c r="N163" s="162" t="s">
        <v>136</v>
      </c>
      <c r="O163" s="380"/>
      <c r="P163" s="380"/>
      <c r="Q163" s="380"/>
      <c r="R163" s="380"/>
      <c r="T163" s="479" t="s">
        <v>770</v>
      </c>
      <c r="U163" s="479" t="s">
        <v>770</v>
      </c>
      <c r="V163" s="480" t="s">
        <v>781</v>
      </c>
      <c r="W163" s="481">
        <v>0.25</v>
      </c>
    </row>
    <row r="164" spans="2:23" ht="12" customHeight="1" x14ac:dyDescent="0.25">
      <c r="B164" s="378" t="s">
        <v>239</v>
      </c>
      <c r="C164" s="379"/>
      <c r="D164" s="44">
        <v>-0.25</v>
      </c>
      <c r="E164" s="44">
        <v>-0.375</v>
      </c>
      <c r="F164" s="44">
        <v>-0.375</v>
      </c>
      <c r="G164" s="44">
        <v>-0.625</v>
      </c>
      <c r="H164" s="44">
        <v>-0.625</v>
      </c>
      <c r="I164" s="44">
        <v>-0.625</v>
      </c>
      <c r="J164" s="44">
        <v>-0.625</v>
      </c>
      <c r="K164" s="44">
        <v>-0.875</v>
      </c>
      <c r="L164" s="45" t="e">
        <v>#N/A</v>
      </c>
      <c r="M164"/>
      <c r="N164" s="162" t="s">
        <v>54</v>
      </c>
      <c r="O164" s="381"/>
      <c r="P164" s="381"/>
      <c r="Q164" s="381"/>
      <c r="R164" s="381"/>
    </row>
    <row r="165" spans="2:23" x14ac:dyDescent="0.25">
      <c r="B165" s="378" t="s">
        <v>98</v>
      </c>
      <c r="C165" s="379"/>
      <c r="D165" s="44">
        <v>-0.25</v>
      </c>
      <c r="E165" s="44">
        <v>-0.25</v>
      </c>
      <c r="F165" s="44">
        <v>-0.25</v>
      </c>
      <c r="G165" s="44">
        <v>-0.5</v>
      </c>
      <c r="H165" s="44">
        <v>-0.5</v>
      </c>
      <c r="I165" s="44">
        <v>-0.5</v>
      </c>
      <c r="J165" s="44">
        <v>-0.5</v>
      </c>
      <c r="K165" s="44">
        <v>-0.5</v>
      </c>
      <c r="L165" s="45" t="e">
        <v>#N/A</v>
      </c>
      <c r="M165"/>
      <c r="N165" s="162" t="s">
        <v>231</v>
      </c>
      <c r="O165" s="381"/>
      <c r="P165" s="381"/>
      <c r="Q165" s="381"/>
      <c r="R165" s="381"/>
    </row>
    <row r="166" spans="2:23" x14ac:dyDescent="0.25">
      <c r="B166" s="378" t="s">
        <v>238</v>
      </c>
      <c r="C166" s="379"/>
      <c r="D166" s="44">
        <v>0</v>
      </c>
      <c r="E166" s="44">
        <v>0</v>
      </c>
      <c r="F166" s="44">
        <v>0</v>
      </c>
      <c r="G166" s="44">
        <v>0</v>
      </c>
      <c r="H166" s="44">
        <v>0</v>
      </c>
      <c r="I166" s="44">
        <v>0</v>
      </c>
      <c r="J166" s="44">
        <v>0</v>
      </c>
      <c r="K166" s="44" t="e">
        <v>#N/A</v>
      </c>
      <c r="L166" s="45" t="e">
        <v>#N/A</v>
      </c>
      <c r="M166"/>
      <c r="N166" s="162" t="s">
        <v>240</v>
      </c>
    </row>
    <row r="167" spans="2:23" x14ac:dyDescent="0.25">
      <c r="B167" s="378" t="s">
        <v>99</v>
      </c>
      <c r="C167" s="379"/>
      <c r="D167" s="44">
        <v>-1</v>
      </c>
      <c r="E167" s="44">
        <v>-1</v>
      </c>
      <c r="F167" s="44">
        <v>-1</v>
      </c>
      <c r="G167" s="44">
        <v>-1</v>
      </c>
      <c r="H167" s="44">
        <v>-1.25</v>
      </c>
      <c r="I167" s="44">
        <v>-1.5</v>
      </c>
      <c r="J167" s="44" t="e">
        <v>#N/A</v>
      </c>
      <c r="K167" s="44" t="e">
        <v>#N/A</v>
      </c>
      <c r="L167" s="45" t="e">
        <v>#N/A</v>
      </c>
      <c r="M167"/>
      <c r="N167" s="162" t="s">
        <v>141</v>
      </c>
      <c r="O167" s="383"/>
      <c r="P167" s="383"/>
      <c r="Q167" s="383"/>
      <c r="R167" s="383"/>
    </row>
    <row r="168" spans="2:23" x14ac:dyDescent="0.25">
      <c r="B168" s="378" t="s">
        <v>100</v>
      </c>
      <c r="C168" s="379"/>
      <c r="D168" s="44">
        <v>0</v>
      </c>
      <c r="E168" s="44">
        <v>0</v>
      </c>
      <c r="F168" s="44">
        <v>0</v>
      </c>
      <c r="G168" s="44">
        <v>0</v>
      </c>
      <c r="H168" s="44">
        <v>0</v>
      </c>
      <c r="I168" s="44">
        <v>0</v>
      </c>
      <c r="J168" s="44">
        <v>0</v>
      </c>
      <c r="K168" s="44" t="e">
        <v>#N/A</v>
      </c>
      <c r="L168" s="45" t="e">
        <v>#N/A</v>
      </c>
      <c r="M168"/>
      <c r="N168" s="162" t="s">
        <v>143</v>
      </c>
      <c r="O168" s="385"/>
      <c r="P168" s="380"/>
      <c r="Q168" s="380"/>
      <c r="R168" s="380"/>
    </row>
    <row r="169" spans="2:23" x14ac:dyDescent="0.25">
      <c r="B169" s="378" t="s">
        <v>101</v>
      </c>
      <c r="C169" s="379"/>
      <c r="D169" s="44">
        <v>-0.25</v>
      </c>
      <c r="E169" s="44">
        <v>-0.25</v>
      </c>
      <c r="F169" s="44">
        <v>-0.25</v>
      </c>
      <c r="G169" s="44">
        <v>-0.25</v>
      </c>
      <c r="H169" s="44">
        <v>-0.25</v>
      </c>
      <c r="I169" s="44">
        <v>-0.25</v>
      </c>
      <c r="J169" s="44">
        <v>-0.25</v>
      </c>
      <c r="K169" s="44" t="e">
        <v>#N/A</v>
      </c>
      <c r="L169" s="45" t="e">
        <v>#N/A</v>
      </c>
      <c r="M169"/>
      <c r="N169" s="162" t="s">
        <v>250</v>
      </c>
      <c r="O169" s="381"/>
      <c r="P169" s="386"/>
      <c r="Q169" s="386"/>
      <c r="R169" s="386"/>
    </row>
    <row r="170" spans="2:23" x14ac:dyDescent="0.25">
      <c r="B170" s="378" t="s">
        <v>249</v>
      </c>
      <c r="C170" s="379"/>
      <c r="D170" s="44">
        <v>0</v>
      </c>
      <c r="E170" s="44">
        <v>0</v>
      </c>
      <c r="F170" s="44">
        <v>0</v>
      </c>
      <c r="G170" s="44">
        <v>0</v>
      </c>
      <c r="H170" s="44">
        <v>0</v>
      </c>
      <c r="I170" s="44">
        <v>0</v>
      </c>
      <c r="J170" s="44">
        <v>0</v>
      </c>
      <c r="K170" s="44">
        <v>0</v>
      </c>
      <c r="L170" s="45" t="e">
        <v>#N/A</v>
      </c>
      <c r="M170"/>
      <c r="N170" s="162" t="s">
        <v>145</v>
      </c>
      <c r="O170" s="385"/>
      <c r="P170" s="380"/>
      <c r="Q170" s="380"/>
      <c r="R170" s="380"/>
    </row>
    <row r="171" spans="2:23" x14ac:dyDescent="0.25">
      <c r="B171" s="378" t="s">
        <v>213</v>
      </c>
      <c r="C171" s="379"/>
      <c r="D171" s="44">
        <v>0</v>
      </c>
      <c r="E171" s="44">
        <v>0</v>
      </c>
      <c r="F171" s="44">
        <v>0</v>
      </c>
      <c r="G171" s="44">
        <v>0</v>
      </c>
      <c r="H171" s="44">
        <v>0</v>
      </c>
      <c r="I171" s="44">
        <v>0</v>
      </c>
      <c r="J171" s="44">
        <v>0</v>
      </c>
      <c r="K171" s="44">
        <v>0</v>
      </c>
      <c r="L171" s="45" t="e">
        <v>#N/A</v>
      </c>
      <c r="M171"/>
      <c r="N171" s="162" t="s">
        <v>148</v>
      </c>
    </row>
    <row r="172" spans="2:23" ht="15.75" thickBot="1" x14ac:dyDescent="0.3">
      <c r="B172" s="378" t="s">
        <v>178</v>
      </c>
      <c r="C172" s="379"/>
      <c r="D172" s="44">
        <v>0</v>
      </c>
      <c r="E172" s="44">
        <v>0</v>
      </c>
      <c r="F172" s="44">
        <v>0</v>
      </c>
      <c r="G172" s="44">
        <v>0</v>
      </c>
      <c r="H172" s="44">
        <v>0</v>
      </c>
      <c r="I172" s="44">
        <v>0</v>
      </c>
      <c r="J172" s="44">
        <v>0</v>
      </c>
      <c r="K172" s="44">
        <v>0</v>
      </c>
      <c r="L172" s="45" t="e">
        <v>#N/A</v>
      </c>
      <c r="M172"/>
      <c r="N172" s="162" t="s">
        <v>253</v>
      </c>
      <c r="O172" s="172"/>
    </row>
    <row r="173" spans="2:23" x14ac:dyDescent="0.25">
      <c r="B173" s="439" t="s">
        <v>144</v>
      </c>
      <c r="C173" s="440"/>
      <c r="D173" s="440"/>
      <c r="E173" s="440"/>
      <c r="F173" s="440"/>
      <c r="G173" s="440"/>
      <c r="H173" s="440"/>
      <c r="I173" s="440"/>
      <c r="J173" s="440"/>
      <c r="K173" s="440"/>
      <c r="L173" s="441"/>
      <c r="M173"/>
      <c r="N173" s="162" t="s">
        <v>151</v>
      </c>
      <c r="O173" s="162" t="s">
        <v>177</v>
      </c>
    </row>
    <row r="174" spans="2:23" x14ac:dyDescent="0.25">
      <c r="B174" s="376" t="s">
        <v>231</v>
      </c>
      <c r="C174" s="377"/>
      <c r="D174" s="44">
        <v>-0.375</v>
      </c>
      <c r="E174" s="44">
        <v>-0.375</v>
      </c>
      <c r="F174" s="44">
        <v>-0.375</v>
      </c>
      <c r="G174" s="44">
        <v>-0.375</v>
      </c>
      <c r="H174" s="44">
        <v>-0.5</v>
      </c>
      <c r="I174" s="44">
        <v>-0.5</v>
      </c>
      <c r="J174" s="44">
        <v>-0.5</v>
      </c>
      <c r="K174" s="44" t="e">
        <v>#N/A</v>
      </c>
      <c r="L174" s="45" t="e">
        <v>#N/A</v>
      </c>
      <c r="M174"/>
      <c r="N174" s="172" t="s">
        <v>212</v>
      </c>
      <c r="O174" s="382" t="s">
        <v>53</v>
      </c>
      <c r="P174" s="383" t="s">
        <v>51</v>
      </c>
      <c r="Q174" s="383" t="s">
        <v>641</v>
      </c>
      <c r="R174" s="383" t="s">
        <v>642</v>
      </c>
    </row>
    <row r="175" spans="2:23" x14ac:dyDescent="0.25">
      <c r="B175" s="376" t="s">
        <v>240</v>
      </c>
      <c r="C175" s="377"/>
      <c r="D175" s="44">
        <f>DSCR!H65+D180</f>
        <v>-1</v>
      </c>
      <c r="E175" s="44">
        <f>DSCR!I65+E180</f>
        <v>-1</v>
      </c>
      <c r="F175" s="44">
        <f>DSCR!J65+F180</f>
        <v>-1</v>
      </c>
      <c r="G175" s="44">
        <f>DSCR!K65+G180</f>
        <v>-1</v>
      </c>
      <c r="H175" s="44">
        <f>DSCR!L65+H180</f>
        <v>-1.25</v>
      </c>
      <c r="I175" s="44">
        <f>DSCR!M65+I180</f>
        <v>-1.25</v>
      </c>
      <c r="J175" s="44">
        <f>DSCR!N65+J180</f>
        <v>-1.25</v>
      </c>
      <c r="K175" s="44" t="e">
        <f>DSCR!O65+K180</f>
        <v>#N/A</v>
      </c>
      <c r="L175" s="45" t="e">
        <v>#N/A</v>
      </c>
      <c r="M175"/>
      <c r="N175" s="172" t="s">
        <v>222</v>
      </c>
      <c r="O175" s="380" t="e">
        <f>IF(OR($O$176="", $O$177="", $O$177="Choose a Selection"),0,
   INDEX($D$163:$L$217,
         MATCH($O$177,$B$163:$B$217,0),
         MATCH($O$176,$D$161:$L$161,0)))</f>
        <v>#N/A</v>
      </c>
      <c r="P175" s="380">
        <f>IF(OR($P$176="", $P$177="", $P$177="Choose a Selection"),0,
   INDEX($D$163:$L$217,
         MATCH($P$177,$B$163:$B$217,0),
         MATCH($P$176,$D$161:$L$161,0)))</f>
        <v>0</v>
      </c>
      <c r="Q175" s="380" t="e">
        <f>IF(OR($Q$176="", $Q$177="",$Q$177="Choose a Selection"),0,
   INDEX($D$163:$L$217,
         MATCH($Q$177,$B$163:$B$217,0),
         MATCH($Q$176,$D$161:$L$161,0)))</f>
        <v>#N/A</v>
      </c>
      <c r="R175" s="380">
        <f>IF(OR($R$176="", $R$177="",$R$177="Choose a Selection"),0,
   INDEX($D$163:$L$217,
         MATCH($R$177,$B$163:$B$217,0),
         MATCH($R$176,$D$161:$L$161,0)))</f>
        <v>0</v>
      </c>
    </row>
    <row r="176" spans="2:23" x14ac:dyDescent="0.25">
      <c r="B176" s="376" t="s">
        <v>250</v>
      </c>
      <c r="C176" s="377"/>
      <c r="D176" s="44">
        <f>DSCR!H65</f>
        <v>-0.5</v>
      </c>
      <c r="E176" s="44">
        <f>DSCR!I65</f>
        <v>-0.5</v>
      </c>
      <c r="F176" s="44">
        <f>DSCR!J65</f>
        <v>-0.5</v>
      </c>
      <c r="G176" s="44">
        <f>DSCR!K65</f>
        <v>-0.5</v>
      </c>
      <c r="H176" s="44">
        <f>DSCR!L65</f>
        <v>-0.75</v>
      </c>
      <c r="I176" s="44">
        <f>DSCR!M65</f>
        <v>-0.75</v>
      </c>
      <c r="J176" s="44">
        <f>DSCR!N65</f>
        <v>-0.75</v>
      </c>
      <c r="K176" s="44" t="e">
        <f>DSCR!O65</f>
        <v>#N/A</v>
      </c>
      <c r="L176" s="45">
        <f>DSCR!P65</f>
        <v>0</v>
      </c>
      <c r="M176"/>
      <c r="N176" s="172" t="s">
        <v>229</v>
      </c>
      <c r="O176" s="381" t="str">
        <f>DSCR!$S$11</f>
        <v>Choose a Selection</v>
      </c>
      <c r="P176" s="381" t="str">
        <f>DSCR!$S$11</f>
        <v>Choose a Selection</v>
      </c>
      <c r="Q176" s="381" t="str">
        <f>DSCR!$S$11</f>
        <v>Choose a Selection</v>
      </c>
      <c r="R176" s="381" t="str">
        <f>DSCR!$S$11</f>
        <v>Choose a Selection</v>
      </c>
    </row>
    <row r="177" spans="2:18" x14ac:dyDescent="0.25">
      <c r="B177" s="376" t="s">
        <v>253</v>
      </c>
      <c r="C177" s="377"/>
      <c r="D177" s="44">
        <f>DSCR!H65</f>
        <v>-0.5</v>
      </c>
      <c r="E177" s="44">
        <f>DSCR!I65</f>
        <v>-0.5</v>
      </c>
      <c r="F177" s="44">
        <f>DSCR!J65</f>
        <v>-0.5</v>
      </c>
      <c r="G177" s="44">
        <f>DSCR!K65</f>
        <v>-0.5</v>
      </c>
      <c r="H177" s="44">
        <f>DSCR!L65</f>
        <v>-0.75</v>
      </c>
      <c r="I177" s="44">
        <f>DSCR!M65</f>
        <v>-0.75</v>
      </c>
      <c r="J177" s="44">
        <f>DSCR!N65</f>
        <v>-0.75</v>
      </c>
      <c r="K177" s="44" t="e">
        <f>DSCR!O65</f>
        <v>#N/A</v>
      </c>
      <c r="L177" s="45">
        <f>DSCR!P65</f>
        <v>0</v>
      </c>
      <c r="M177"/>
      <c r="N177" s="162" t="s">
        <v>57</v>
      </c>
      <c r="O177" s="381" t="str">
        <f>DSCR!$S$25</f>
        <v>30YR Fixed</v>
      </c>
      <c r="P177" s="381" t="str">
        <f>DSCR!$S$24</f>
        <v>Choose a Selection</v>
      </c>
      <c r="Q177" s="431" t="str">
        <f>DSCR!S32</f>
        <v>No</v>
      </c>
      <c r="R177" s="381" t="str">
        <f>DSCR!$S$19</f>
        <v>Choose a Selection</v>
      </c>
    </row>
    <row r="178" spans="2:18" x14ac:dyDescent="0.25">
      <c r="B178" s="376" t="s">
        <v>136</v>
      </c>
      <c r="C178" s="377"/>
      <c r="D178" s="44">
        <v>0.25</v>
      </c>
      <c r="E178" s="44">
        <v>0.25</v>
      </c>
      <c r="F178" s="44">
        <v>0.25</v>
      </c>
      <c r="G178" s="44">
        <v>0.25</v>
      </c>
      <c r="H178" s="44">
        <v>0.25</v>
      </c>
      <c r="I178" s="44">
        <v>0.25</v>
      </c>
      <c r="J178" s="44">
        <v>0.25</v>
      </c>
      <c r="K178" s="44">
        <v>0.25</v>
      </c>
      <c r="L178" s="45" t="e">
        <v>#N/A</v>
      </c>
      <c r="M178"/>
      <c r="N178" s="162" t="s">
        <v>152</v>
      </c>
    </row>
    <row r="179" spans="2:18" x14ac:dyDescent="0.25">
      <c r="B179" s="376" t="s">
        <v>54</v>
      </c>
      <c r="C179" s="377"/>
      <c r="D179" s="44">
        <v>0</v>
      </c>
      <c r="E179" s="44">
        <v>0</v>
      </c>
      <c r="F179" s="44">
        <v>0</v>
      </c>
      <c r="G179" s="44">
        <v>0</v>
      </c>
      <c r="H179" s="44">
        <v>0</v>
      </c>
      <c r="I179" s="44">
        <v>0</v>
      </c>
      <c r="J179" s="44">
        <v>0</v>
      </c>
      <c r="K179" s="44">
        <v>0</v>
      </c>
      <c r="L179" s="45" t="e">
        <v>#N/A</v>
      </c>
      <c r="M179"/>
      <c r="N179" s="172" t="s">
        <v>158</v>
      </c>
      <c r="O179" s="383" t="s">
        <v>31</v>
      </c>
      <c r="P179" s="383" t="s">
        <v>50</v>
      </c>
      <c r="Q179" s="383" t="s">
        <v>56</v>
      </c>
      <c r="R179" s="383" t="s">
        <v>203</v>
      </c>
    </row>
    <row r="180" spans="2:18" x14ac:dyDescent="0.25">
      <c r="B180" s="376" t="s">
        <v>141</v>
      </c>
      <c r="C180" s="377"/>
      <c r="D180" s="44">
        <v>-0.5</v>
      </c>
      <c r="E180" s="44">
        <v>-0.5</v>
      </c>
      <c r="F180" s="44">
        <v>-0.5</v>
      </c>
      <c r="G180" s="44">
        <v>-0.5</v>
      </c>
      <c r="H180" s="44">
        <v>-0.5</v>
      </c>
      <c r="I180" s="44">
        <v>-0.5</v>
      </c>
      <c r="J180" s="44">
        <v>-0.5</v>
      </c>
      <c r="K180" s="44">
        <v>-0.5</v>
      </c>
      <c r="L180" s="45" t="e">
        <v>#N/A</v>
      </c>
      <c r="M180"/>
      <c r="N180" s="172" t="s">
        <v>161</v>
      </c>
      <c r="O180" s="385">
        <f>IF(OR($O$181="", $O$182="", $O$182="Choose a Selection"),0,
   INDEX($D$163:$L$217,
         MATCH($O$182,$B$163:$B$217,0),
         MATCH($O$181,$D$161:$L$161,0)))</f>
        <v>0</v>
      </c>
      <c r="P180" s="380" t="e">
        <f>IF(OR($P$181="", $P$182="", $P$182="Choose a Selection"),0,
   INDEX($D$163:$L$217,
         MATCH($P$182,$B$163:$B$217,0),
         MATCH($P$181,$D$161:$L$161,0)))</f>
        <v>#N/A</v>
      </c>
      <c r="Q180" s="380">
        <f>IF(OR($Q$181="", $Q$182="", $Q$182="Choose a Selection"),0,
   INDEX($D$163:$L$217,
         MATCH($Q$182,$B$163:$B$217,0),
         MATCH($Q$181,$D$161:$L$161,0)))</f>
        <v>0</v>
      </c>
      <c r="R180" s="380" t="e">
        <f>IF(OR($R$181="", $R$182="", $R$182="Choose a Selection"),0,
   INDEX($D$163:$L$217,
         MATCH($R$182,$B$163:$B$217,0),
         MATCH($R$181,$D$161:$L$161,0)))</f>
        <v>#N/A</v>
      </c>
    </row>
    <row r="181" spans="2:18" x14ac:dyDescent="0.25">
      <c r="B181" s="376" t="s">
        <v>143</v>
      </c>
      <c r="C181" s="377"/>
      <c r="D181" s="44">
        <v>0.25</v>
      </c>
      <c r="E181" s="44">
        <v>0.25</v>
      </c>
      <c r="F181" s="44">
        <v>0.25</v>
      </c>
      <c r="G181" s="44">
        <v>0.25</v>
      </c>
      <c r="H181" s="44">
        <v>0.25</v>
      </c>
      <c r="I181" s="44">
        <v>0.25</v>
      </c>
      <c r="J181" s="44">
        <v>0.25</v>
      </c>
      <c r="K181" s="44">
        <v>0.25</v>
      </c>
      <c r="L181" s="45" t="e">
        <v>#N/A</v>
      </c>
      <c r="M181"/>
      <c r="N181" s="172" t="s">
        <v>223</v>
      </c>
      <c r="O181" s="381" t="str">
        <f>DSCR!$S$11</f>
        <v>Choose a Selection</v>
      </c>
      <c r="P181" s="386" t="str">
        <f>DSCR!$S$11</f>
        <v>Choose a Selection</v>
      </c>
      <c r="Q181" s="386" t="str">
        <f>DSCR!$S$11</f>
        <v>Choose a Selection</v>
      </c>
      <c r="R181" s="386" t="str">
        <f>DSCR!$S$11</f>
        <v>Choose a Selection</v>
      </c>
    </row>
    <row r="182" spans="2:18" x14ac:dyDescent="0.25">
      <c r="B182" s="376" t="s">
        <v>145</v>
      </c>
      <c r="C182" s="377"/>
      <c r="D182" s="44">
        <v>-0.5</v>
      </c>
      <c r="E182" s="44">
        <v>-0.5</v>
      </c>
      <c r="F182" s="44">
        <v>-0.5</v>
      </c>
      <c r="G182" s="44">
        <v>-0.5</v>
      </c>
      <c r="H182" s="44">
        <v>-0.5</v>
      </c>
      <c r="I182" s="44">
        <v>-0.5</v>
      </c>
      <c r="J182" s="44">
        <v>-0.5</v>
      </c>
      <c r="K182" s="44">
        <v>-0.5</v>
      </c>
      <c r="L182" s="45" t="e">
        <v>#N/A</v>
      </c>
      <c r="N182" s="172" t="s">
        <v>232</v>
      </c>
      <c r="O182" s="385" t="str">
        <f>DSCR!S14</f>
        <v>Choose a Selection</v>
      </c>
      <c r="P182" s="380" t="str">
        <f>DSCR!$S$23</f>
        <v>Non-Owner (Alt Doc/DSCR)</v>
      </c>
      <c r="Q182" s="380" t="str">
        <f>DSCR!$S$26</f>
        <v>Choose a Selection</v>
      </c>
      <c r="R182" s="380" t="str">
        <f>DSCR!$S$30</f>
        <v>30 Day</v>
      </c>
    </row>
    <row r="183" spans="2:18" x14ac:dyDescent="0.25">
      <c r="B183" s="376" t="s">
        <v>148</v>
      </c>
      <c r="C183" s="377"/>
      <c r="D183" s="44">
        <v>0.25</v>
      </c>
      <c r="E183" s="44">
        <v>0.25</v>
      </c>
      <c r="F183" s="44">
        <v>0.25</v>
      </c>
      <c r="G183" s="44">
        <v>0.25</v>
      </c>
      <c r="H183" s="44">
        <v>0.25</v>
      </c>
      <c r="I183" s="44">
        <v>0.25</v>
      </c>
      <c r="J183" s="44">
        <v>0.25</v>
      </c>
      <c r="K183" s="44">
        <v>0.25</v>
      </c>
      <c r="L183" s="45" t="e">
        <v>#N/A</v>
      </c>
      <c r="N183" s="172" t="s">
        <v>213</v>
      </c>
    </row>
    <row r="184" spans="2:18" x14ac:dyDescent="0.25">
      <c r="B184" s="376" t="s">
        <v>151</v>
      </c>
      <c r="C184" s="377"/>
      <c r="D184" s="44">
        <v>-0.5</v>
      </c>
      <c r="E184" s="44">
        <v>-0.5</v>
      </c>
      <c r="F184" s="44">
        <v>-0.5</v>
      </c>
      <c r="G184" s="44">
        <v>-0.5</v>
      </c>
      <c r="H184" s="44">
        <v>-0.5</v>
      </c>
      <c r="I184" s="44">
        <v>-0.5</v>
      </c>
      <c r="J184" s="44">
        <v>-0.5</v>
      </c>
      <c r="K184" s="44">
        <v>-0.5</v>
      </c>
      <c r="L184" s="45" t="e">
        <v>#N/A</v>
      </c>
      <c r="N184" s="172" t="s">
        <v>100</v>
      </c>
      <c r="O184" s="383" t="s">
        <v>644</v>
      </c>
    </row>
    <row r="185" spans="2:18" x14ac:dyDescent="0.25">
      <c r="B185" s="376" t="s">
        <v>152</v>
      </c>
      <c r="C185" s="377"/>
      <c r="D185" s="610">
        <f>DSCR!H66</f>
        <v>0</v>
      </c>
      <c r="E185" s="610">
        <f>DSCR!I66</f>
        <v>0</v>
      </c>
      <c r="F185" s="610">
        <f>DSCR!J66</f>
        <v>0</v>
      </c>
      <c r="G185" s="610">
        <f>DSCR!K66</f>
        <v>0</v>
      </c>
      <c r="H185" s="610">
        <f>DSCR!L66</f>
        <v>0</v>
      </c>
      <c r="I185" s="610">
        <f>DSCR!M66</f>
        <v>0</v>
      </c>
      <c r="J185" s="610">
        <f>DSCR!N66</f>
        <v>0</v>
      </c>
      <c r="K185" s="610" t="e">
        <f>DSCR!O66</f>
        <v>#N/A</v>
      </c>
      <c r="L185" s="45" t="e">
        <v>#N/A</v>
      </c>
      <c r="N185" s="172" t="s">
        <v>101</v>
      </c>
      <c r="O185" s="385">
        <f>IF(OR($O$186="", $O$187="", $O$187="Choose a Selection"),0,INDEX($D$163:$L$217,MATCH($O$187,$B$163:$B$217,0),MATCH($O$186,$D$161:$L$161,0)))</f>
        <v>0</v>
      </c>
    </row>
    <row r="186" spans="2:18" x14ac:dyDescent="0.25">
      <c r="B186" s="376" t="s">
        <v>57</v>
      </c>
      <c r="C186" s="377"/>
      <c r="D186" s="44">
        <v>0</v>
      </c>
      <c r="E186" s="44">
        <v>0</v>
      </c>
      <c r="F186" s="44">
        <v>0</v>
      </c>
      <c r="G186" s="44">
        <v>0</v>
      </c>
      <c r="H186" s="44">
        <v>0</v>
      </c>
      <c r="I186" s="44">
        <v>0</v>
      </c>
      <c r="J186" s="44">
        <v>0</v>
      </c>
      <c r="K186" s="44">
        <v>0</v>
      </c>
      <c r="L186" s="45" t="e">
        <v>#N/A</v>
      </c>
      <c r="N186" s="172" t="s">
        <v>238</v>
      </c>
      <c r="O186" s="381" t="str">
        <f>DSCR!$S$11</f>
        <v>Choose a Selection</v>
      </c>
    </row>
    <row r="187" spans="2:18" x14ac:dyDescent="0.25">
      <c r="B187" s="376" t="s">
        <v>212</v>
      </c>
      <c r="C187" s="377"/>
      <c r="D187" s="44">
        <v>0</v>
      </c>
      <c r="E187" s="44">
        <v>0</v>
      </c>
      <c r="F187" s="44">
        <v>0</v>
      </c>
      <c r="G187" s="44">
        <v>0</v>
      </c>
      <c r="H187" s="44">
        <v>0</v>
      </c>
      <c r="I187" s="44">
        <v>0</v>
      </c>
      <c r="J187" s="44">
        <v>0</v>
      </c>
      <c r="K187" s="44">
        <v>0</v>
      </c>
      <c r="L187" s="45" t="e">
        <v>#N/A</v>
      </c>
      <c r="N187" s="162" t="s">
        <v>243</v>
      </c>
      <c r="O187" s="385" t="str">
        <f>DSCR!S29</f>
        <v>Choose a Selection</v>
      </c>
    </row>
    <row r="188" spans="2:18" x14ac:dyDescent="0.25">
      <c r="B188" s="376" t="s">
        <v>222</v>
      </c>
      <c r="C188" s="377"/>
      <c r="D188" s="44">
        <v>0</v>
      </c>
      <c r="E188" s="44">
        <v>0</v>
      </c>
      <c r="F188" s="44">
        <v>-0.125</v>
      </c>
      <c r="G188" s="44">
        <v>-0.25</v>
      </c>
      <c r="H188" s="44">
        <v>-0.25</v>
      </c>
      <c r="I188" s="44">
        <v>-0.25</v>
      </c>
      <c r="J188" s="44">
        <v>-0.25</v>
      </c>
      <c r="K188" s="44">
        <v>-0.5</v>
      </c>
      <c r="L188" s="45" t="e">
        <v>#N/A</v>
      </c>
      <c r="N188" s="172" t="s">
        <v>99</v>
      </c>
    </row>
    <row r="189" spans="2:18" x14ac:dyDescent="0.25">
      <c r="B189" s="376" t="s">
        <v>229</v>
      </c>
      <c r="C189" s="377"/>
      <c r="D189" s="44">
        <v>-0.25</v>
      </c>
      <c r="E189" s="44">
        <v>-0.25</v>
      </c>
      <c r="F189" s="44">
        <v>-0.25</v>
      </c>
      <c r="G189" s="44">
        <v>-0.375</v>
      </c>
      <c r="H189" s="44">
        <v>-0.5</v>
      </c>
      <c r="I189" s="44">
        <v>-0.625</v>
      </c>
      <c r="J189" s="44">
        <v>-1</v>
      </c>
      <c r="K189" s="44" t="e">
        <v>#N/A</v>
      </c>
      <c r="L189" s="45" t="e">
        <v>#N/A</v>
      </c>
      <c r="N189" s="172" t="s">
        <v>249</v>
      </c>
    </row>
    <row r="190" spans="2:18" x14ac:dyDescent="0.25">
      <c r="B190" s="376" t="s">
        <v>217</v>
      </c>
      <c r="C190" s="377"/>
      <c r="D190" s="44">
        <v>0</v>
      </c>
      <c r="E190" s="44">
        <v>0</v>
      </c>
      <c r="F190" s="44">
        <v>0</v>
      </c>
      <c r="G190" s="44">
        <v>0</v>
      </c>
      <c r="H190" s="44">
        <v>0</v>
      </c>
      <c r="I190" s="44">
        <v>0</v>
      </c>
      <c r="J190" s="44">
        <v>0</v>
      </c>
      <c r="K190" s="44">
        <v>0</v>
      </c>
      <c r="L190" s="45" t="e">
        <v>#N/A</v>
      </c>
      <c r="N190" s="162" t="s">
        <v>196</v>
      </c>
    </row>
    <row r="191" spans="2:18" x14ac:dyDescent="0.25">
      <c r="B191" s="376" t="s">
        <v>158</v>
      </c>
      <c r="C191" s="377"/>
      <c r="D191" s="610">
        <f>DSCR!H67</f>
        <v>-2</v>
      </c>
      <c r="E191" s="610">
        <f>DSCR!I67</f>
        <v>-2</v>
      </c>
      <c r="F191" s="610">
        <f>DSCR!J67</f>
        <v>-2</v>
      </c>
      <c r="G191" s="610">
        <f>DSCR!K67</f>
        <v>-2</v>
      </c>
      <c r="H191" s="610">
        <f>DSCR!L67</f>
        <v>-2</v>
      </c>
      <c r="I191" s="610">
        <f>DSCR!M67</f>
        <v>-2.5</v>
      </c>
      <c r="J191" s="610" t="e">
        <f>DSCR!N67</f>
        <v>#N/A</v>
      </c>
      <c r="K191" s="610" t="e">
        <f>DSCR!O67</f>
        <v>#N/A</v>
      </c>
      <c r="L191" s="45" t="e">
        <v>#N/A</v>
      </c>
    </row>
    <row r="192" spans="2:18" x14ac:dyDescent="0.25">
      <c r="B192" s="376" t="s">
        <v>161</v>
      </c>
      <c r="C192" s="377"/>
      <c r="D192" s="44">
        <v>-1.5</v>
      </c>
      <c r="E192" s="44">
        <v>-1.5</v>
      </c>
      <c r="F192" s="44">
        <v>-1.5</v>
      </c>
      <c r="G192" s="44">
        <v>-1.5</v>
      </c>
      <c r="H192" s="44">
        <v>-1.5</v>
      </c>
      <c r="I192" s="44">
        <v>-1.75</v>
      </c>
      <c r="J192" s="44" t="e">
        <v>#N/A</v>
      </c>
      <c r="K192" s="44" t="e">
        <v>#N/A</v>
      </c>
      <c r="L192" s="45" t="e">
        <v>#N/A</v>
      </c>
      <c r="N192"/>
      <c r="O192"/>
    </row>
    <row r="193" spans="2:16" x14ac:dyDescent="0.25">
      <c r="B193" s="376" t="s">
        <v>223</v>
      </c>
      <c r="C193" s="377"/>
      <c r="D193" s="44">
        <v>0</v>
      </c>
      <c r="E193" s="44">
        <v>0</v>
      </c>
      <c r="F193" s="44">
        <v>0</v>
      </c>
      <c r="G193" s="44">
        <v>0</v>
      </c>
      <c r="H193" s="44">
        <v>0</v>
      </c>
      <c r="I193" s="44">
        <v>0</v>
      </c>
      <c r="J193" s="44">
        <v>0</v>
      </c>
      <c r="K193" s="44">
        <v>0</v>
      </c>
      <c r="L193" s="45" t="e">
        <v>#N/A</v>
      </c>
      <c r="N193"/>
      <c r="O193"/>
    </row>
    <row r="194" spans="2:16" x14ac:dyDescent="0.25">
      <c r="B194" s="376" t="s">
        <v>232</v>
      </c>
      <c r="C194" s="377"/>
      <c r="D194" s="44">
        <v>0</v>
      </c>
      <c r="E194" s="44">
        <v>0</v>
      </c>
      <c r="F194" s="44">
        <v>0</v>
      </c>
      <c r="G194" s="44">
        <v>0</v>
      </c>
      <c r="H194" s="44">
        <v>0</v>
      </c>
      <c r="I194" s="44">
        <v>0</v>
      </c>
      <c r="J194" s="44">
        <v>0</v>
      </c>
      <c r="K194" s="44">
        <v>0</v>
      </c>
      <c r="L194" s="45" t="e">
        <v>#N/A</v>
      </c>
      <c r="N194"/>
      <c r="O194"/>
    </row>
    <row r="195" spans="2:16" x14ac:dyDescent="0.25">
      <c r="B195" s="376" t="s">
        <v>70</v>
      </c>
      <c r="C195" s="377"/>
      <c r="D195" s="44">
        <v>-0.5</v>
      </c>
      <c r="E195" s="44">
        <v>-0.5</v>
      </c>
      <c r="F195" s="44">
        <v>-0.5</v>
      </c>
      <c r="G195" s="44">
        <v>-0.5</v>
      </c>
      <c r="H195" s="44">
        <v>-0.5</v>
      </c>
      <c r="I195" s="44">
        <v>-0.5</v>
      </c>
      <c r="J195" s="44">
        <v>-0.5</v>
      </c>
      <c r="K195" s="44">
        <v>-0.5</v>
      </c>
      <c r="L195" s="45" t="e">
        <v>#N/A</v>
      </c>
      <c r="N195"/>
      <c r="O195"/>
      <c r="P195"/>
    </row>
    <row r="196" spans="2:16" x14ac:dyDescent="0.25">
      <c r="B196" s="376" t="s">
        <v>256</v>
      </c>
      <c r="C196" s="377"/>
      <c r="D196" s="44">
        <v>0</v>
      </c>
      <c r="E196" s="44">
        <v>0</v>
      </c>
      <c r="F196" s="44">
        <v>0</v>
      </c>
      <c r="G196" s="44">
        <v>0</v>
      </c>
      <c r="H196" s="44">
        <v>0</v>
      </c>
      <c r="I196" s="44">
        <v>0</v>
      </c>
      <c r="J196" s="44">
        <v>0</v>
      </c>
      <c r="K196" s="44">
        <v>0</v>
      </c>
      <c r="L196" s="45" t="e">
        <v>#N/A</v>
      </c>
      <c r="N196"/>
      <c r="O196"/>
      <c r="P196"/>
    </row>
    <row r="197" spans="2:16" x14ac:dyDescent="0.25">
      <c r="B197" s="376" t="s">
        <v>259</v>
      </c>
      <c r="C197" s="377"/>
      <c r="D197" s="44">
        <v>0</v>
      </c>
      <c r="E197" s="44">
        <v>0</v>
      </c>
      <c r="F197" s="44">
        <v>0</v>
      </c>
      <c r="G197" s="44">
        <v>0</v>
      </c>
      <c r="H197" s="44">
        <v>0</v>
      </c>
      <c r="I197" s="44">
        <v>0</v>
      </c>
      <c r="J197" s="44">
        <v>0</v>
      </c>
      <c r="K197" s="44">
        <v>0</v>
      </c>
      <c r="L197" s="45" t="e">
        <v>#N/A</v>
      </c>
      <c r="N197"/>
      <c r="O197"/>
      <c r="P197"/>
    </row>
    <row r="198" spans="2:16" x14ac:dyDescent="0.25">
      <c r="B198" s="376" t="s">
        <v>262</v>
      </c>
      <c r="C198" s="377"/>
      <c r="D198" s="44">
        <v>0</v>
      </c>
      <c r="E198" s="44">
        <v>0</v>
      </c>
      <c r="F198" s="44">
        <v>0</v>
      </c>
      <c r="G198" s="44">
        <v>0</v>
      </c>
      <c r="H198" s="44">
        <v>0</v>
      </c>
      <c r="I198" s="44">
        <v>0</v>
      </c>
      <c r="J198" s="44">
        <v>0</v>
      </c>
      <c r="K198" s="44">
        <v>0</v>
      </c>
      <c r="L198" s="45" t="e">
        <v>#N/A</v>
      </c>
      <c r="N198"/>
      <c r="O198"/>
      <c r="P198"/>
    </row>
    <row r="199" spans="2:16" x14ac:dyDescent="0.25">
      <c r="B199" s="376" t="s">
        <v>265</v>
      </c>
      <c r="C199" s="377"/>
      <c r="D199" s="44">
        <v>0</v>
      </c>
      <c r="E199" s="44">
        <v>0</v>
      </c>
      <c r="F199" s="44">
        <v>0</v>
      </c>
      <c r="G199" s="44">
        <v>0</v>
      </c>
      <c r="H199" s="44">
        <v>0</v>
      </c>
      <c r="I199" s="44">
        <v>0</v>
      </c>
      <c r="J199" s="44">
        <v>0</v>
      </c>
      <c r="K199" s="44">
        <v>0</v>
      </c>
      <c r="L199" s="45" t="e">
        <v>#N/A</v>
      </c>
    </row>
    <row r="200" spans="2:16" x14ac:dyDescent="0.25">
      <c r="B200" s="376" t="s">
        <v>219</v>
      </c>
      <c r="C200" s="377"/>
      <c r="D200" s="44">
        <v>0</v>
      </c>
      <c r="E200" s="44">
        <v>0</v>
      </c>
      <c r="F200" s="44">
        <v>0</v>
      </c>
      <c r="G200" s="44">
        <v>0</v>
      </c>
      <c r="H200" s="44">
        <v>0</v>
      </c>
      <c r="I200" s="44">
        <v>0</v>
      </c>
      <c r="J200" s="44">
        <v>0</v>
      </c>
      <c r="K200" s="44">
        <v>0</v>
      </c>
      <c r="L200" s="45" t="e">
        <v>#N/A</v>
      </c>
    </row>
    <row r="201" spans="2:16" x14ac:dyDescent="0.25">
      <c r="B201" s="376" t="s">
        <v>227</v>
      </c>
      <c r="C201" s="377"/>
      <c r="D201" s="44">
        <v>0</v>
      </c>
      <c r="E201" s="44">
        <v>0</v>
      </c>
      <c r="F201" s="44">
        <v>0</v>
      </c>
      <c r="G201" s="44">
        <v>0</v>
      </c>
      <c r="H201" s="44">
        <v>0</v>
      </c>
      <c r="I201" s="44">
        <v>0</v>
      </c>
      <c r="J201" s="44">
        <v>0</v>
      </c>
      <c r="K201" s="44">
        <v>0</v>
      </c>
      <c r="L201" s="45" t="e">
        <v>#N/A</v>
      </c>
    </row>
    <row r="202" spans="2:16" x14ac:dyDescent="0.25">
      <c r="B202" s="376" t="s">
        <v>235</v>
      </c>
      <c r="C202" s="377"/>
      <c r="D202" s="44">
        <v>0</v>
      </c>
      <c r="E202" s="44">
        <v>0</v>
      </c>
      <c r="F202" s="44">
        <v>0</v>
      </c>
      <c r="G202" s="44">
        <v>0</v>
      </c>
      <c r="H202" s="44">
        <v>0</v>
      </c>
      <c r="I202" s="44">
        <v>0</v>
      </c>
      <c r="J202" s="44">
        <v>0</v>
      </c>
      <c r="K202" s="44">
        <v>0</v>
      </c>
      <c r="L202" s="45" t="e">
        <v>#N/A</v>
      </c>
    </row>
    <row r="203" spans="2:16" x14ac:dyDescent="0.25">
      <c r="B203" s="376" t="s">
        <v>241</v>
      </c>
      <c r="C203" s="377"/>
      <c r="D203" s="44">
        <v>0</v>
      </c>
      <c r="E203" s="44">
        <v>0</v>
      </c>
      <c r="F203" s="44">
        <v>0</v>
      </c>
      <c r="G203" s="44">
        <v>0</v>
      </c>
      <c r="H203" s="44">
        <v>0</v>
      </c>
      <c r="I203" s="44">
        <v>0</v>
      </c>
      <c r="J203" s="44">
        <v>0</v>
      </c>
      <c r="K203" s="44">
        <v>0</v>
      </c>
      <c r="L203" s="45" t="e">
        <v>#N/A</v>
      </c>
    </row>
    <row r="204" spans="2:16" x14ac:dyDescent="0.25">
      <c r="B204" s="376" t="s">
        <v>245</v>
      </c>
      <c r="C204" s="377"/>
      <c r="D204" s="44">
        <v>0</v>
      </c>
      <c r="E204" s="44">
        <v>0</v>
      </c>
      <c r="F204" s="44">
        <v>0</v>
      </c>
      <c r="G204" s="44">
        <v>0</v>
      </c>
      <c r="H204" s="44">
        <v>0</v>
      </c>
      <c r="I204" s="44">
        <v>0</v>
      </c>
      <c r="J204" s="44">
        <v>0</v>
      </c>
      <c r="K204" s="44">
        <v>0</v>
      </c>
      <c r="L204" s="45" t="e">
        <v>#N/A</v>
      </c>
    </row>
    <row r="205" spans="2:16" x14ac:dyDescent="0.25">
      <c r="B205" s="376" t="s">
        <v>247</v>
      </c>
      <c r="C205" s="377"/>
      <c r="D205" s="44">
        <v>0</v>
      </c>
      <c r="E205" s="44">
        <v>0</v>
      </c>
      <c r="F205" s="44">
        <v>0</v>
      </c>
      <c r="G205" s="44">
        <v>0</v>
      </c>
      <c r="H205" s="44">
        <v>0</v>
      </c>
      <c r="I205" s="44">
        <v>0</v>
      </c>
      <c r="J205" s="44">
        <v>0</v>
      </c>
      <c r="K205" s="44">
        <v>0</v>
      </c>
      <c r="L205" s="45" t="e">
        <v>#N/A</v>
      </c>
    </row>
    <row r="206" spans="2:16" x14ac:dyDescent="0.25">
      <c r="B206" s="376" t="s">
        <v>251</v>
      </c>
      <c r="C206" s="377"/>
      <c r="D206" s="44">
        <v>0</v>
      </c>
      <c r="E206" s="44">
        <v>0</v>
      </c>
      <c r="F206" s="44">
        <v>0</v>
      </c>
      <c r="G206" s="44">
        <v>0</v>
      </c>
      <c r="H206" s="44">
        <v>0</v>
      </c>
      <c r="I206" s="44">
        <v>0</v>
      </c>
      <c r="J206" s="44">
        <v>0</v>
      </c>
      <c r="K206" s="44">
        <v>0</v>
      </c>
      <c r="L206" s="45" t="e">
        <v>#N/A</v>
      </c>
    </row>
    <row r="207" spans="2:16" x14ac:dyDescent="0.25">
      <c r="B207" s="376" t="s">
        <v>252</v>
      </c>
      <c r="C207" s="377"/>
      <c r="D207" s="44">
        <v>0</v>
      </c>
      <c r="E207" s="44">
        <v>0</v>
      </c>
      <c r="F207" s="44">
        <v>0</v>
      </c>
      <c r="G207" s="44">
        <v>0</v>
      </c>
      <c r="H207" s="44">
        <v>0</v>
      </c>
      <c r="I207" s="44">
        <v>0</v>
      </c>
      <c r="J207" s="44">
        <v>0</v>
      </c>
      <c r="K207" s="44">
        <v>0</v>
      </c>
      <c r="L207" s="45" t="e">
        <v>#N/A</v>
      </c>
    </row>
    <row r="208" spans="2:16" x14ac:dyDescent="0.25">
      <c r="B208" s="376" t="s">
        <v>188</v>
      </c>
      <c r="C208" s="377"/>
      <c r="D208" s="44">
        <v>-0.25</v>
      </c>
      <c r="E208" s="44">
        <v>-0.25</v>
      </c>
      <c r="F208" s="44">
        <v>-0.25</v>
      </c>
      <c r="G208" s="44">
        <v>-0.25</v>
      </c>
      <c r="H208" s="44">
        <v>-0.25</v>
      </c>
      <c r="I208" s="44">
        <v>-0.25</v>
      </c>
      <c r="J208" s="44">
        <v>-0.25</v>
      </c>
      <c r="K208" s="44">
        <v>-0.25</v>
      </c>
      <c r="L208" s="45" t="e">
        <v>#N/A</v>
      </c>
    </row>
    <row r="209" spans="2:12" x14ac:dyDescent="0.25">
      <c r="B209" s="376" t="s">
        <v>189</v>
      </c>
      <c r="C209" s="377"/>
      <c r="D209" s="44">
        <v>-0.25</v>
      </c>
      <c r="E209" s="44">
        <v>-0.25</v>
      </c>
      <c r="F209" s="44">
        <v>-0.25</v>
      </c>
      <c r="G209" s="44">
        <v>-0.25</v>
      </c>
      <c r="H209" s="44">
        <v>-0.25</v>
      </c>
      <c r="I209" s="44">
        <v>-0.25</v>
      </c>
      <c r="J209" s="44">
        <v>-0.25</v>
      </c>
      <c r="K209" s="44">
        <v>-0.25</v>
      </c>
      <c r="L209" s="44" t="e">
        <v>#N/A</v>
      </c>
    </row>
    <row r="210" spans="2:12" x14ac:dyDescent="0.25">
      <c r="B210" s="376" t="s">
        <v>190</v>
      </c>
      <c r="C210" s="377"/>
      <c r="D210" s="44">
        <v>-0.25</v>
      </c>
      <c r="E210" s="44">
        <v>-0.25</v>
      </c>
      <c r="F210" s="44">
        <v>-0.25</v>
      </c>
      <c r="G210" s="44">
        <v>-0.25</v>
      </c>
      <c r="H210" s="44">
        <v>-0.25</v>
      </c>
      <c r="I210" s="44">
        <v>-0.25</v>
      </c>
      <c r="J210" s="44">
        <v>-0.25</v>
      </c>
      <c r="K210" s="44">
        <v>-0.25</v>
      </c>
      <c r="L210" s="45" t="e">
        <v>#N/A</v>
      </c>
    </row>
    <row r="211" spans="2:12" x14ac:dyDescent="0.25">
      <c r="B211" s="376" t="s">
        <v>192</v>
      </c>
      <c r="C211" s="377"/>
      <c r="D211" s="44">
        <v>-0.25</v>
      </c>
      <c r="E211" s="44">
        <v>-0.25</v>
      </c>
      <c r="F211" s="44">
        <v>-0.25</v>
      </c>
      <c r="G211" s="44">
        <v>-0.25</v>
      </c>
      <c r="H211" s="44">
        <v>-0.25</v>
      </c>
      <c r="I211" s="44">
        <v>-0.25</v>
      </c>
      <c r="J211" s="44">
        <v>-0.25</v>
      </c>
      <c r="K211" s="44">
        <v>-0.25</v>
      </c>
      <c r="L211" s="45" t="e">
        <v>#N/A</v>
      </c>
    </row>
    <row r="212" spans="2:12" x14ac:dyDescent="0.25">
      <c r="B212" s="376" t="s">
        <v>895</v>
      </c>
      <c r="C212" s="377"/>
      <c r="D212" s="44">
        <v>0</v>
      </c>
      <c r="E212" s="44">
        <v>0</v>
      </c>
      <c r="F212" s="44">
        <v>0</v>
      </c>
      <c r="G212" s="44">
        <v>0</v>
      </c>
      <c r="H212" s="44">
        <v>0</v>
      </c>
      <c r="I212" s="44">
        <v>0</v>
      </c>
      <c r="J212" s="44">
        <v>0</v>
      </c>
      <c r="K212" s="44">
        <v>0</v>
      </c>
      <c r="L212" s="45" t="e">
        <v>#N/A</v>
      </c>
    </row>
    <row r="213" spans="2:12" x14ac:dyDescent="0.25">
      <c r="B213" s="376" t="s">
        <v>193</v>
      </c>
      <c r="C213" s="377"/>
      <c r="D213" s="44">
        <v>-0.25</v>
      </c>
      <c r="E213" s="44">
        <v>-0.25</v>
      </c>
      <c r="F213" s="44">
        <v>-0.25</v>
      </c>
      <c r="G213" s="44">
        <v>-0.25</v>
      </c>
      <c r="H213" s="44">
        <v>-0.25</v>
      </c>
      <c r="I213" s="44">
        <v>-0.25</v>
      </c>
      <c r="J213" s="44">
        <v>-0.25</v>
      </c>
      <c r="K213" s="44">
        <v>-0.25</v>
      </c>
      <c r="L213" s="45" t="e">
        <v>#N/A</v>
      </c>
    </row>
    <row r="214" spans="2:12" x14ac:dyDescent="0.25">
      <c r="B214" s="376" t="s">
        <v>194</v>
      </c>
      <c r="C214" s="377"/>
      <c r="D214" s="44">
        <v>-0.25</v>
      </c>
      <c r="E214" s="44">
        <v>-0.25</v>
      </c>
      <c r="F214" s="44">
        <v>-0.25</v>
      </c>
      <c r="G214" s="44">
        <v>-0.25</v>
      </c>
      <c r="H214" s="44">
        <v>-0.25</v>
      </c>
      <c r="I214" s="44">
        <v>-0.25</v>
      </c>
      <c r="J214" s="44">
        <v>-0.25</v>
      </c>
      <c r="K214" s="44">
        <v>-0.25</v>
      </c>
      <c r="L214" s="45" t="e">
        <v>#N/A</v>
      </c>
    </row>
    <row r="215" spans="2:12" x14ac:dyDescent="0.25">
      <c r="B215" s="376" t="s">
        <v>66</v>
      </c>
      <c r="C215" s="377"/>
      <c r="D215" s="44">
        <v>0</v>
      </c>
      <c r="E215" s="44">
        <v>0</v>
      </c>
      <c r="F215" s="44">
        <v>0</v>
      </c>
      <c r="G215" s="44">
        <v>0</v>
      </c>
      <c r="H215" s="44">
        <v>0</v>
      </c>
      <c r="I215" s="44">
        <v>0</v>
      </c>
      <c r="J215" s="44">
        <v>0</v>
      </c>
      <c r="K215" s="44">
        <v>0</v>
      </c>
      <c r="L215" s="45" t="e">
        <v>#N/A</v>
      </c>
    </row>
    <row r="216" spans="2:12" x14ac:dyDescent="0.25">
      <c r="B216" s="376" t="s">
        <v>107</v>
      </c>
      <c r="C216" s="377"/>
      <c r="D216" s="44">
        <v>-0.25</v>
      </c>
      <c r="E216" s="44">
        <v>-0.25</v>
      </c>
      <c r="F216" s="44">
        <v>-0.25</v>
      </c>
      <c r="G216" s="44">
        <v>-0.25</v>
      </c>
      <c r="H216" s="44">
        <v>-0.25</v>
      </c>
      <c r="I216" s="44">
        <v>-0.25</v>
      </c>
      <c r="J216" s="44">
        <v>-0.25</v>
      </c>
      <c r="K216" s="44">
        <v>-0.25</v>
      </c>
      <c r="L216" s="45" t="e">
        <v>#N/A</v>
      </c>
    </row>
    <row r="217" spans="2:12" x14ac:dyDescent="0.25">
      <c r="B217" s="376" t="s">
        <v>112</v>
      </c>
      <c r="C217" s="377"/>
      <c r="D217" s="44">
        <v>-0.5</v>
      </c>
      <c r="E217" s="44">
        <v>-0.5</v>
      </c>
      <c r="F217" s="44">
        <v>-0.5</v>
      </c>
      <c r="G217" s="44">
        <v>-0.5</v>
      </c>
      <c r="H217" s="44">
        <v>-0.5</v>
      </c>
      <c r="I217" s="44">
        <v>-0.5</v>
      </c>
      <c r="J217" s="44">
        <v>-0.5</v>
      </c>
      <c r="K217" s="44">
        <v>-0.5</v>
      </c>
      <c r="L217" s="45" t="e">
        <v>#N/A</v>
      </c>
    </row>
  </sheetData>
  <sheetProtection selectLockedCells="1"/>
  <mergeCells count="22">
    <mergeCell ref="B141:C141"/>
    <mergeCell ref="B136:C136"/>
    <mergeCell ref="B137:C137"/>
    <mergeCell ref="B138:C138"/>
    <mergeCell ref="B139:C139"/>
    <mergeCell ref="B140:C140"/>
    <mergeCell ref="B143:C143"/>
    <mergeCell ref="B144:C144"/>
    <mergeCell ref="B161:C161"/>
    <mergeCell ref="B162:L162"/>
    <mergeCell ref="B142:C142"/>
    <mergeCell ref="B80:E80"/>
    <mergeCell ref="I80:L80"/>
    <mergeCell ref="B129:D129"/>
    <mergeCell ref="B130:C130"/>
    <mergeCell ref="B131:C131"/>
    <mergeCell ref="B133:C133"/>
    <mergeCell ref="B134:C134"/>
    <mergeCell ref="I134:J134"/>
    <mergeCell ref="B135:C135"/>
    <mergeCell ref="B132:C132"/>
    <mergeCell ref="I135:J135"/>
  </mergeCells>
  <conditionalFormatting sqref="B161:B162">
    <cfRule type="containsText" dxfId="91" priority="4" operator="containsText" text="n/a">
      <formula>NOT(ISERROR(SEARCH("n/a",B161)))</formula>
    </cfRule>
  </conditionalFormatting>
  <conditionalFormatting sqref="B173">
    <cfRule type="containsText" dxfId="90" priority="3" operator="containsText" text="n/a">
      <formula>NOT(ISERROR(SEARCH("n/a",B173)))</formula>
    </cfRule>
  </conditionalFormatting>
  <conditionalFormatting sqref="D161:L161">
    <cfRule type="containsText" dxfId="89" priority="5" operator="containsText" text="n/a">
      <formula>NOT(ISERROR(SEARCH("n/a",D161)))</formula>
    </cfRule>
  </conditionalFormatting>
  <conditionalFormatting sqref="AO39">
    <cfRule type="expression" priority="6">
      <formula>#REF!</formula>
    </cfRule>
  </conditionalFormatting>
  <conditionalFormatting sqref="AO41">
    <cfRule type="expression" priority="7">
      <formula>#REF!</formula>
    </cfRule>
  </conditionalFormatting>
  <conditionalFormatting sqref="T160:U160">
    <cfRule type="containsText" dxfId="88" priority="2" operator="containsText" text="n/a">
      <formula>NOT(ISERROR(SEARCH("n/a",T160)))</formula>
    </cfRule>
  </conditionalFormatting>
  <conditionalFormatting sqref="T159">
    <cfRule type="containsText" dxfId="87" priority="1" operator="containsText" text="n/a">
      <formula>NOT(ISERROR(SEARCH("n/a",T159)))</formula>
    </cfRule>
  </conditionalFormatting>
  <pageMargins left="0.7" right="0.7" top="0.75" bottom="0.75" header="0.3" footer="0.3"/>
  <pageSetup orientation="portrait" horizontalDpi="1200" verticalDpi="12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E61087-C184-4BB0-9EF7-E6AD65E64440}">
  <sheetPr codeName="Sheet14">
    <tabColor theme="4" tint="-0.499984740745262"/>
  </sheetPr>
  <dimension ref="A1:AV145"/>
  <sheetViews>
    <sheetView showGridLines="0" topLeftCell="A101" zoomScale="85" zoomScaleNormal="85" workbookViewId="0">
      <selection activeCell="Z1" sqref="Z1"/>
    </sheetView>
  </sheetViews>
  <sheetFormatPr defaultColWidth="9.140625" defaultRowHeight="15" x14ac:dyDescent="0.25"/>
  <cols>
    <col min="1" max="1" width="29.7109375" style="162" customWidth="1"/>
    <col min="2" max="2" width="30.5703125" style="162" customWidth="1"/>
    <col min="3" max="3" width="22.7109375" style="162" customWidth="1"/>
    <col min="4" max="19" width="20.7109375" style="162" customWidth="1"/>
    <col min="20" max="23" width="20.7109375" style="174" customWidth="1"/>
    <col min="24" max="30" width="12.7109375" style="174" customWidth="1"/>
    <col min="31" max="47" width="12.7109375" style="162" customWidth="1"/>
    <col min="48" max="16384" width="9.140625" style="162"/>
  </cols>
  <sheetData>
    <row r="1" spans="1:31" x14ac:dyDescent="0.25">
      <c r="A1" s="165" t="s">
        <v>198</v>
      </c>
      <c r="B1" s="165" t="s">
        <v>199</v>
      </c>
      <c r="C1" s="165" t="s">
        <v>28</v>
      </c>
      <c r="D1" s="165" t="s">
        <v>40</v>
      </c>
      <c r="E1" s="165" t="s">
        <v>42</v>
      </c>
      <c r="F1" s="165" t="s">
        <v>46</v>
      </c>
      <c r="G1" s="165" t="s">
        <v>79</v>
      </c>
      <c r="H1" s="165" t="s">
        <v>200</v>
      </c>
      <c r="I1" s="165" t="s">
        <v>201</v>
      </c>
      <c r="J1" s="165" t="s">
        <v>48</v>
      </c>
      <c r="K1" s="165" t="s">
        <v>51</v>
      </c>
      <c r="L1" s="165" t="s">
        <v>50</v>
      </c>
      <c r="M1" s="165" t="s">
        <v>202</v>
      </c>
      <c r="N1" s="497" t="s">
        <v>203</v>
      </c>
      <c r="O1" s="497" t="s">
        <v>204</v>
      </c>
      <c r="P1" s="497" t="s">
        <v>44</v>
      </c>
      <c r="Q1" s="497" t="s">
        <v>205</v>
      </c>
      <c r="R1" s="534" t="s">
        <v>67</v>
      </c>
      <c r="S1" s="534" t="s">
        <v>70</v>
      </c>
      <c r="T1" s="165" t="s">
        <v>63</v>
      </c>
      <c r="U1" s="165" t="s">
        <v>31</v>
      </c>
      <c r="V1" s="165" t="s">
        <v>34</v>
      </c>
      <c r="W1" s="165" t="s">
        <v>37</v>
      </c>
      <c r="X1"/>
      <c r="AB1" s="162"/>
      <c r="AC1" s="162"/>
      <c r="AD1" s="162"/>
    </row>
    <row r="2" spans="1:31" x14ac:dyDescent="0.25">
      <c r="A2" s="172" t="s">
        <v>32</v>
      </c>
      <c r="B2" s="172" t="s">
        <v>32</v>
      </c>
      <c r="C2" s="172" t="s">
        <v>32</v>
      </c>
      <c r="D2" s="172" t="s">
        <v>32</v>
      </c>
      <c r="E2" s="172" t="s">
        <v>32</v>
      </c>
      <c r="F2" s="172" t="s">
        <v>32</v>
      </c>
      <c r="G2" s="172" t="s">
        <v>32</v>
      </c>
      <c r="H2" s="172" t="s">
        <v>32</v>
      </c>
      <c r="I2" s="172" t="s">
        <v>32</v>
      </c>
      <c r="J2" s="172" t="s">
        <v>32</v>
      </c>
      <c r="K2" s="172" t="s">
        <v>32</v>
      </c>
      <c r="L2" s="172" t="s">
        <v>32</v>
      </c>
      <c r="M2" s="172" t="s">
        <v>32</v>
      </c>
      <c r="N2" s="498" t="s">
        <v>32</v>
      </c>
      <c r="O2" s="498" t="s">
        <v>32</v>
      </c>
      <c r="P2" s="498" t="s">
        <v>32</v>
      </c>
      <c r="Q2" s="498" t="s">
        <v>32</v>
      </c>
      <c r="R2" s="498" t="s">
        <v>32</v>
      </c>
      <c r="S2" s="498" t="s">
        <v>32</v>
      </c>
      <c r="T2" s="172" t="s">
        <v>32</v>
      </c>
      <c r="U2" s="172" t="s">
        <v>32</v>
      </c>
      <c r="V2" s="172" t="s">
        <v>32</v>
      </c>
      <c r="W2" s="172" t="s">
        <v>32</v>
      </c>
      <c r="X2"/>
      <c r="Y2" s="533"/>
      <c r="Z2"/>
      <c r="AC2" s="162"/>
      <c r="AD2" s="162"/>
    </row>
    <row r="3" spans="1:31" x14ac:dyDescent="0.25">
      <c r="A3" s="162" t="s">
        <v>902</v>
      </c>
      <c r="B3" s="172" t="s">
        <v>13</v>
      </c>
      <c r="C3" s="172" t="s">
        <v>49</v>
      </c>
      <c r="D3" s="175" t="s">
        <v>210</v>
      </c>
      <c r="E3" s="172" t="s">
        <v>211</v>
      </c>
      <c r="F3" s="172" t="s">
        <v>914</v>
      </c>
      <c r="G3" s="172" t="s">
        <v>908</v>
      </c>
      <c r="H3" s="172" t="s">
        <v>103</v>
      </c>
      <c r="I3" s="172" t="s">
        <v>57</v>
      </c>
      <c r="J3" t="s">
        <v>69</v>
      </c>
      <c r="K3" s="172" t="s">
        <v>213</v>
      </c>
      <c r="L3" s="172" t="s">
        <v>214</v>
      </c>
      <c r="M3" s="172" t="s">
        <v>54</v>
      </c>
      <c r="N3" s="498" t="s">
        <v>215</v>
      </c>
      <c r="O3" s="498" t="s">
        <v>216</v>
      </c>
      <c r="P3" s="498" t="s">
        <v>217</v>
      </c>
      <c r="Q3" s="498" t="s">
        <v>218</v>
      </c>
      <c r="R3" s="498" t="s">
        <v>68</v>
      </c>
      <c r="S3" s="498" t="s">
        <v>68</v>
      </c>
      <c r="T3" s="172" t="s">
        <v>227</v>
      </c>
      <c r="U3" s="162" t="s">
        <v>913</v>
      </c>
      <c r="V3" s="162" t="s">
        <v>35</v>
      </c>
      <c r="W3" s="162" t="s">
        <v>38</v>
      </c>
      <c r="X3"/>
      <c r="Y3" s="533"/>
      <c r="Z3"/>
      <c r="AA3"/>
      <c r="AB3" s="162"/>
      <c r="AC3" s="162"/>
      <c r="AD3" s="162"/>
    </row>
    <row r="4" spans="1:31" x14ac:dyDescent="0.25">
      <c r="A4" s="162" t="s">
        <v>43</v>
      </c>
      <c r="B4" s="172" t="s">
        <v>14</v>
      </c>
      <c r="C4" s="172" t="s">
        <v>29</v>
      </c>
      <c r="D4" s="175"/>
      <c r="E4" s="175"/>
      <c r="F4" s="172" t="s">
        <v>907</v>
      </c>
      <c r="G4" s="162" t="s">
        <v>777</v>
      </c>
      <c r="H4" s="172" t="s">
        <v>108</v>
      </c>
      <c r="I4" s="172" t="s">
        <v>152</v>
      </c>
      <c r="J4" t="s">
        <v>71</v>
      </c>
      <c r="K4" s="162" t="s">
        <v>911</v>
      </c>
      <c r="L4" s="172" t="s">
        <v>98</v>
      </c>
      <c r="M4" s="172"/>
      <c r="N4" s="498" t="s">
        <v>66</v>
      </c>
      <c r="O4" s="498"/>
      <c r="P4" s="175" t="s">
        <v>906</v>
      </c>
      <c r="Q4" s="498" t="s">
        <v>224</v>
      </c>
      <c r="R4" s="535" t="s">
        <v>225</v>
      </c>
      <c r="S4" s="536" t="s">
        <v>226</v>
      </c>
      <c r="T4" s="172" t="s">
        <v>219</v>
      </c>
      <c r="U4" s="162" t="s">
        <v>262</v>
      </c>
      <c r="V4" s="162" t="s">
        <v>167</v>
      </c>
      <c r="W4" s="162" t="s">
        <v>912</v>
      </c>
      <c r="X4"/>
      <c r="Y4" s="425"/>
      <c r="Z4"/>
      <c r="AB4"/>
      <c r="AC4"/>
      <c r="AD4" s="162"/>
    </row>
    <row r="5" spans="1:31" x14ac:dyDescent="0.25">
      <c r="A5" s="162" t="s">
        <v>45</v>
      </c>
      <c r="B5" s="172" t="s">
        <v>15</v>
      </c>
      <c r="C5" s="172"/>
      <c r="D5" s="172"/>
      <c r="E5" s="175"/>
      <c r="F5" s="172"/>
      <c r="G5" s="172" t="s">
        <v>909</v>
      </c>
      <c r="H5" s="172" t="s">
        <v>113</v>
      </c>
      <c r="I5" s="172"/>
      <c r="J5" t="s">
        <v>73</v>
      </c>
      <c r="K5" s="162" t="s">
        <v>915</v>
      </c>
      <c r="L5" s="172" t="s">
        <v>230</v>
      </c>
      <c r="M5" s="172"/>
      <c r="N5" s="498" t="s">
        <v>107</v>
      </c>
      <c r="O5" s="498"/>
      <c r="P5" s="498"/>
      <c r="Q5" s="498" t="s">
        <v>233</v>
      </c>
      <c r="R5" s="537" t="s">
        <v>234</v>
      </c>
      <c r="S5" s="536"/>
      <c r="T5" s="172" t="s">
        <v>895</v>
      </c>
      <c r="U5" s="162"/>
      <c r="V5" s="172"/>
      <c r="W5"/>
      <c r="Y5" s="425"/>
      <c r="Z5"/>
      <c r="AA5"/>
      <c r="AB5"/>
      <c r="AC5" s="174" t="s">
        <v>228</v>
      </c>
      <c r="AD5"/>
      <c r="AE5"/>
    </row>
    <row r="6" spans="1:31" x14ac:dyDescent="0.25">
      <c r="A6" s="172" t="s">
        <v>903</v>
      </c>
      <c r="B6" s="172" t="s">
        <v>16</v>
      </c>
      <c r="C6" s="172"/>
      <c r="E6" s="175"/>
      <c r="F6" s="172"/>
      <c r="G6" s="172" t="s">
        <v>910</v>
      </c>
      <c r="H6" s="172" t="s">
        <v>117</v>
      </c>
      <c r="I6" s="172"/>
      <c r="J6"/>
      <c r="K6" s="172" t="s">
        <v>249</v>
      </c>
      <c r="L6" s="172" t="s">
        <v>239</v>
      </c>
      <c r="M6" s="172"/>
      <c r="N6" s="498" t="s">
        <v>112</v>
      </c>
      <c r="O6" s="498"/>
      <c r="P6" s="498"/>
      <c r="Q6" s="172"/>
      <c r="R6" s="172"/>
      <c r="S6" s="179"/>
      <c r="T6" s="172" t="s">
        <v>916</v>
      </c>
      <c r="U6" s="162"/>
      <c r="W6"/>
      <c r="X6"/>
      <c r="Y6"/>
      <c r="AA6"/>
      <c r="AB6"/>
      <c r="AC6" s="174" t="s">
        <v>228</v>
      </c>
      <c r="AD6"/>
      <c r="AE6"/>
    </row>
    <row r="7" spans="1:31" x14ac:dyDescent="0.25">
      <c r="A7" s="172" t="s">
        <v>904</v>
      </c>
      <c r="B7" s="172"/>
      <c r="C7" s="172"/>
      <c r="D7" s="172"/>
      <c r="E7" s="175"/>
      <c r="G7" s="172" t="s">
        <v>87</v>
      </c>
      <c r="H7" s="184" t="s">
        <v>122</v>
      </c>
      <c r="I7" s="172"/>
      <c r="J7"/>
      <c r="K7" s="172"/>
      <c r="L7" s="172"/>
      <c r="M7" s="172"/>
      <c r="N7" s="498" t="s">
        <v>244</v>
      </c>
      <c r="O7" s="498"/>
      <c r="P7" s="498"/>
      <c r="Q7" s="172"/>
      <c r="R7" s="165"/>
      <c r="S7"/>
      <c r="T7" s="172" t="s">
        <v>918</v>
      </c>
      <c r="U7" s="172"/>
      <c r="W7"/>
      <c r="X7"/>
      <c r="Y7"/>
      <c r="Z7"/>
      <c r="AA7"/>
      <c r="AB7"/>
      <c r="AC7" s="174" t="s">
        <v>228</v>
      </c>
      <c r="AD7"/>
      <c r="AE7"/>
    </row>
    <row r="8" spans="1:31" x14ac:dyDescent="0.25">
      <c r="A8" s="172" t="s">
        <v>905</v>
      </c>
      <c r="B8" s="172"/>
      <c r="C8" s="172"/>
      <c r="D8" s="172"/>
      <c r="E8" s="172"/>
      <c r="G8" s="172" t="s">
        <v>919</v>
      </c>
      <c r="H8" s="184" t="s">
        <v>126</v>
      </c>
      <c r="I8" s="172"/>
      <c r="J8" s="172"/>
      <c r="K8" s="172"/>
      <c r="L8" s="172"/>
      <c r="M8" s="172"/>
      <c r="N8" s="172"/>
      <c r="O8" s="498"/>
      <c r="P8" s="498"/>
      <c r="Q8" s="172"/>
      <c r="R8" s="172"/>
      <c r="S8"/>
      <c r="T8" s="172" t="s">
        <v>704</v>
      </c>
      <c r="U8" s="172"/>
      <c r="V8"/>
      <c r="W8"/>
      <c r="X8"/>
      <c r="Y8"/>
      <c r="Z8"/>
      <c r="AA8"/>
      <c r="AB8"/>
      <c r="AC8" s="174" t="s">
        <v>228</v>
      </c>
      <c r="AD8"/>
      <c r="AE8"/>
    </row>
    <row r="9" spans="1:31" x14ac:dyDescent="0.25">
      <c r="A9" s="172"/>
      <c r="B9" s="172"/>
      <c r="D9" s="172"/>
      <c r="F9" s="172"/>
      <c r="G9" s="172"/>
      <c r="H9" s="172" t="s">
        <v>130</v>
      </c>
      <c r="I9" s="172"/>
      <c r="J9" s="172"/>
      <c r="K9" s="172"/>
      <c r="L9" s="172"/>
      <c r="M9" s="172"/>
      <c r="N9" s="172"/>
      <c r="O9" s="498"/>
      <c r="P9" s="498"/>
      <c r="Q9" s="172"/>
      <c r="R9" s="172"/>
      <c r="S9"/>
      <c r="T9" s="172" t="s">
        <v>192</v>
      </c>
      <c r="U9" s="172"/>
      <c r="V9"/>
      <c r="W9"/>
      <c r="X9"/>
      <c r="Y9"/>
      <c r="Z9"/>
      <c r="AA9"/>
      <c r="AB9"/>
      <c r="AC9" s="174" t="s">
        <v>228</v>
      </c>
      <c r="AD9"/>
      <c r="AE9"/>
    </row>
    <row r="10" spans="1:31" x14ac:dyDescent="0.25">
      <c r="A10" s="172"/>
      <c r="B10" s="172"/>
      <c r="D10" s="179"/>
      <c r="E10" s="175"/>
      <c r="F10" s="172"/>
      <c r="G10" s="172"/>
      <c r="H10" s="172" t="s">
        <v>132</v>
      </c>
      <c r="I10" s="172"/>
      <c r="J10" s="172"/>
      <c r="L10" s="172"/>
      <c r="M10" s="172"/>
      <c r="N10" s="172"/>
      <c r="O10" s="498"/>
      <c r="P10" s="498"/>
      <c r="Q10" s="172"/>
      <c r="R10" s="172"/>
      <c r="S10"/>
      <c r="T10" s="172" t="s">
        <v>917</v>
      </c>
      <c r="U10" s="172"/>
      <c r="V10"/>
      <c r="W10"/>
      <c r="X10"/>
      <c r="Y10"/>
      <c r="Z10"/>
      <c r="AA10"/>
      <c r="AB10"/>
      <c r="AC10" s="174" t="s">
        <v>228</v>
      </c>
      <c r="AD10"/>
      <c r="AE10"/>
    </row>
    <row r="11" spans="1:31" x14ac:dyDescent="0.25">
      <c r="A11" s="172"/>
      <c r="B11" s="172"/>
      <c r="D11" s="179"/>
      <c r="E11" s="172"/>
      <c r="F11" s="172"/>
      <c r="G11" s="172"/>
      <c r="H11" s="172" t="s">
        <v>134</v>
      </c>
      <c r="I11" s="172"/>
      <c r="J11" s="177"/>
      <c r="L11" s="172"/>
      <c r="M11" s="172"/>
      <c r="N11" s="172"/>
      <c r="O11" s="498"/>
      <c r="P11" s="498"/>
      <c r="Q11" s="172"/>
      <c r="R11" s="172"/>
      <c r="S11" s="179"/>
      <c r="T11" s="172"/>
      <c r="U11" s="172"/>
      <c r="V11"/>
      <c r="W11"/>
      <c r="X11"/>
      <c r="Y11"/>
      <c r="Z11"/>
      <c r="AA11"/>
      <c r="AB11"/>
      <c r="AD11"/>
      <c r="AE11"/>
    </row>
    <row r="12" spans="1:31" x14ac:dyDescent="0.25">
      <c r="B12" s="172"/>
      <c r="C12" s="172"/>
      <c r="D12" s="179"/>
      <c r="E12" s="172"/>
      <c r="G12" s="172"/>
      <c r="H12" s="172" t="s">
        <v>137</v>
      </c>
      <c r="I12" s="172"/>
      <c r="J12" s="177"/>
      <c r="L12" s="172"/>
      <c r="M12" s="172"/>
      <c r="N12" s="172"/>
      <c r="O12" s="498"/>
      <c r="P12" s="498"/>
      <c r="Q12" s="172"/>
      <c r="R12" s="172"/>
      <c r="S12" s="179"/>
      <c r="T12" s="172"/>
      <c r="U12" s="172"/>
      <c r="V12"/>
      <c r="W12"/>
      <c r="X12"/>
      <c r="Y12"/>
      <c r="Z12"/>
      <c r="AA12"/>
      <c r="AB12"/>
      <c r="AC12" s="174" t="s">
        <v>228</v>
      </c>
      <c r="AD12"/>
    </row>
    <row r="13" spans="1:31" x14ac:dyDescent="0.25">
      <c r="B13" s="172"/>
      <c r="G13" s="172"/>
      <c r="H13" s="162" t="s">
        <v>139</v>
      </c>
      <c r="I13" s="172"/>
      <c r="K13" s="172"/>
      <c r="L13" s="172"/>
      <c r="M13" s="172"/>
      <c r="N13" s="172"/>
      <c r="O13" s="498"/>
      <c r="P13" s="498"/>
      <c r="Q13" s="172"/>
      <c r="R13" s="172"/>
      <c r="S13" s="179"/>
      <c r="T13" s="172"/>
      <c r="U13"/>
      <c r="V13"/>
      <c r="W13"/>
      <c r="X13"/>
      <c r="Y13"/>
      <c r="Z13"/>
      <c r="AA13"/>
      <c r="AB13"/>
      <c r="AC13" s="174" t="s">
        <v>228</v>
      </c>
    </row>
    <row r="14" spans="1:31" x14ac:dyDescent="0.25">
      <c r="H14" s="162" t="s">
        <v>142</v>
      </c>
      <c r="O14" s="189"/>
      <c r="P14" s="189"/>
      <c r="R14" s="187"/>
      <c r="S14" s="187"/>
      <c r="T14" s="172"/>
      <c r="U14" s="187"/>
      <c r="V14" s="187"/>
      <c r="W14" s="187"/>
      <c r="X14" s="187"/>
      <c r="Y14" s="187"/>
      <c r="Z14" s="187"/>
      <c r="AA14" s="187"/>
      <c r="AB14" s="187"/>
    </row>
    <row r="15" spans="1:31" x14ac:dyDescent="0.25">
      <c r="O15" s="189"/>
      <c r="P15" s="189"/>
      <c r="S15" s="187"/>
      <c r="T15" s="172"/>
      <c r="U15" s="187"/>
      <c r="V15" s="187"/>
      <c r="W15" s="187"/>
      <c r="X15" s="187"/>
      <c r="Y15" s="187"/>
      <c r="Z15" s="187"/>
      <c r="AA15" s="187"/>
      <c r="AB15" s="187"/>
    </row>
    <row r="16" spans="1:31" x14ac:dyDescent="0.25">
      <c r="O16" s="189"/>
      <c r="P16" s="189"/>
      <c r="S16" s="187"/>
      <c r="T16" s="172"/>
      <c r="U16" s="187"/>
      <c r="V16" s="187"/>
      <c r="W16" s="187"/>
      <c r="X16" s="187"/>
      <c r="Y16" s="187"/>
      <c r="Z16" s="187"/>
      <c r="AA16" s="187"/>
      <c r="AB16" s="187"/>
    </row>
    <row r="17" spans="1:29" x14ac:dyDescent="0.25">
      <c r="G17" s="165"/>
      <c r="H17" s="185"/>
      <c r="I17" s="186"/>
      <c r="N17" s="172"/>
      <c r="O17" s="189"/>
      <c r="P17" s="189"/>
      <c r="S17" s="174"/>
      <c r="T17" s="172"/>
      <c r="U17" s="187"/>
      <c r="V17" s="187"/>
      <c r="W17" s="187"/>
      <c r="X17" s="187"/>
      <c r="Y17" s="187"/>
      <c r="Z17" s="187"/>
      <c r="AA17" s="187"/>
      <c r="AB17" s="187"/>
    </row>
    <row r="18" spans="1:29" x14ac:dyDescent="0.25">
      <c r="N18"/>
      <c r="O18" s="189"/>
      <c r="P18" s="189"/>
      <c r="S18" s="174"/>
      <c r="T18" s="172"/>
      <c r="U18" s="187"/>
      <c r="V18" s="187"/>
      <c r="W18" s="187"/>
      <c r="X18" s="187"/>
      <c r="Y18" s="187"/>
      <c r="Z18" s="187"/>
      <c r="AA18" s="187"/>
      <c r="AB18" s="187"/>
    </row>
    <row r="19" spans="1:29" ht="15.75" x14ac:dyDescent="0.25">
      <c r="A19" s="539" t="s">
        <v>208</v>
      </c>
      <c r="G19" s="188"/>
      <c r="H19" s="188"/>
      <c r="I19" s="189"/>
      <c r="N19"/>
      <c r="O19" s="189"/>
      <c r="P19" s="189"/>
      <c r="R19" s="187"/>
      <c r="S19" s="174"/>
      <c r="T19" s="172"/>
      <c r="U19" s="187"/>
      <c r="V19" s="187"/>
      <c r="W19" s="187"/>
      <c r="X19" s="187"/>
      <c r="Y19" s="187"/>
      <c r="Z19" s="187"/>
      <c r="AA19" s="187"/>
      <c r="AB19" s="187"/>
    </row>
    <row r="20" spans="1:29" ht="15.75" x14ac:dyDescent="0.25">
      <c r="A20" s="540" t="b" cm="1">
        <f t="array" ref="A20">IF(AND(OR(CoreFlex!$O$17=D3),OR(CoreFlex!$O$22=J3:J5)),0)</f>
        <v>0</v>
      </c>
      <c r="B20" s="538" t="s">
        <v>207</v>
      </c>
      <c r="G20" s="188"/>
      <c r="H20" s="188"/>
      <c r="I20" s="189"/>
      <c r="N20"/>
      <c r="O20" s="189"/>
      <c r="P20" s="189"/>
      <c r="R20" s="187"/>
      <c r="S20" s="174"/>
      <c r="T20" s="172"/>
      <c r="U20" s="187"/>
      <c r="V20" s="187"/>
      <c r="W20" s="187"/>
      <c r="X20" s="187"/>
      <c r="Y20" s="187"/>
      <c r="Z20" s="187"/>
      <c r="AA20" s="187"/>
      <c r="AB20" s="187"/>
    </row>
    <row r="21" spans="1:29" x14ac:dyDescent="0.25">
      <c r="N21"/>
      <c r="O21" s="189"/>
      <c r="P21" s="189"/>
      <c r="R21" s="187"/>
      <c r="S21" s="174"/>
      <c r="T21" s="172"/>
      <c r="U21" s="187"/>
      <c r="V21" s="187"/>
      <c r="W21" s="187"/>
      <c r="X21" s="187"/>
      <c r="Y21" s="187"/>
      <c r="Z21" s="187"/>
      <c r="AA21" s="187"/>
      <c r="AB21" s="187"/>
    </row>
    <row r="22" spans="1:29" x14ac:dyDescent="0.25">
      <c r="E22"/>
      <c r="F22"/>
      <c r="G22"/>
      <c r="I22"/>
      <c r="J22"/>
      <c r="N22"/>
      <c r="O22" s="189"/>
      <c r="P22" s="189"/>
      <c r="S22" s="174"/>
      <c r="T22" s="172"/>
      <c r="U22"/>
      <c r="V22"/>
      <c r="W22"/>
      <c r="X22"/>
      <c r="Y22"/>
      <c r="Z22"/>
      <c r="AA22"/>
      <c r="AB22"/>
      <c r="AC22" s="174" t="s">
        <v>228</v>
      </c>
    </row>
    <row r="23" spans="1:29" x14ac:dyDescent="0.25">
      <c r="E23"/>
      <c r="F23"/>
      <c r="G23"/>
      <c r="J23"/>
      <c r="O23" s="189"/>
      <c r="P23" s="189"/>
      <c r="S23"/>
      <c r="T23" s="172"/>
      <c r="U23"/>
      <c r="V23"/>
      <c r="W23"/>
      <c r="X23"/>
      <c r="Y23"/>
      <c r="Z23"/>
      <c r="AA23"/>
      <c r="AB23"/>
      <c r="AC23" s="174" t="s">
        <v>228</v>
      </c>
    </row>
    <row r="24" spans="1:29" x14ac:dyDescent="0.25">
      <c r="E24"/>
      <c r="F24"/>
      <c r="G24"/>
      <c r="J24"/>
      <c r="O24" s="189"/>
      <c r="P24" s="189"/>
      <c r="S24"/>
      <c r="T24" s="172"/>
      <c r="U24"/>
      <c r="V24"/>
      <c r="W24"/>
      <c r="X24"/>
      <c r="Y24"/>
      <c r="Z24"/>
      <c r="AA24"/>
      <c r="AB24"/>
      <c r="AC24" s="174" t="s">
        <v>228</v>
      </c>
    </row>
    <row r="25" spans="1:29" x14ac:dyDescent="0.25">
      <c r="E25"/>
      <c r="F25"/>
      <c r="G25"/>
      <c r="J25"/>
      <c r="O25" s="189"/>
      <c r="P25" s="499"/>
      <c r="S25"/>
      <c r="T25" s="172"/>
      <c r="U25"/>
      <c r="V25"/>
      <c r="W25"/>
      <c r="X25"/>
      <c r="Y25"/>
      <c r="Z25"/>
      <c r="AA25"/>
      <c r="AB25"/>
      <c r="AC25" s="174" t="s">
        <v>228</v>
      </c>
    </row>
    <row r="26" spans="1:29" x14ac:dyDescent="0.25">
      <c r="E26"/>
      <c r="F26"/>
      <c r="G26"/>
      <c r="J26"/>
      <c r="O26" s="189"/>
      <c r="P26" s="189"/>
      <c r="S26"/>
      <c r="T26" s="172"/>
      <c r="U26"/>
      <c r="V26"/>
      <c r="W26"/>
      <c r="X26"/>
      <c r="Y26"/>
      <c r="Z26"/>
      <c r="AA26"/>
      <c r="AB26"/>
      <c r="AC26" s="174" t="s">
        <v>228</v>
      </c>
    </row>
    <row r="27" spans="1:29" x14ac:dyDescent="0.25">
      <c r="A27" s="172"/>
      <c r="B27" s="172"/>
      <c r="O27" s="189"/>
      <c r="P27" s="189"/>
      <c r="S27"/>
      <c r="U27"/>
      <c r="V27"/>
      <c r="W27"/>
      <c r="X27"/>
      <c r="Y27"/>
      <c r="Z27"/>
      <c r="AA27"/>
      <c r="AB27"/>
      <c r="AC27" s="174" t="s">
        <v>228</v>
      </c>
    </row>
    <row r="28" spans="1:29" x14ac:dyDescent="0.25">
      <c r="A28" s="172"/>
      <c r="B28" s="172"/>
      <c r="O28" s="189"/>
      <c r="P28" s="189"/>
      <c r="S28"/>
      <c r="U28"/>
      <c r="V28"/>
      <c r="W28"/>
      <c r="X28"/>
      <c r="Y28"/>
      <c r="Z28"/>
      <c r="AA28"/>
      <c r="AB28"/>
      <c r="AC28" s="174" t="s">
        <v>228</v>
      </c>
    </row>
    <row r="29" spans="1:29" x14ac:dyDescent="0.25">
      <c r="A29"/>
      <c r="B29"/>
      <c r="N29" s="191"/>
      <c r="O29" s="189"/>
      <c r="P29" s="189"/>
      <c r="S29"/>
      <c r="U29"/>
      <c r="V29"/>
      <c r="W29"/>
      <c r="X29"/>
      <c r="Y29"/>
      <c r="Z29"/>
      <c r="AA29"/>
      <c r="AB29"/>
      <c r="AC29" s="174" t="s">
        <v>228</v>
      </c>
    </row>
    <row r="30" spans="1:29" x14ac:dyDescent="0.25">
      <c r="A30"/>
      <c r="B30"/>
      <c r="N30" s="191"/>
      <c r="O30" s="189"/>
      <c r="P30" s="189"/>
      <c r="S30"/>
      <c r="U30"/>
      <c r="V30"/>
      <c r="W30"/>
      <c r="X30"/>
      <c r="Y30"/>
      <c r="Z30"/>
      <c r="AA30"/>
      <c r="AB30"/>
      <c r="AC30" s="174" t="s">
        <v>228</v>
      </c>
    </row>
    <row r="31" spans="1:29" x14ac:dyDescent="0.25">
      <c r="O31" s="499"/>
      <c r="P31" s="499"/>
      <c r="Q31"/>
      <c r="R31"/>
      <c r="S31"/>
      <c r="T31"/>
      <c r="U31"/>
      <c r="V31"/>
      <c r="W31"/>
      <c r="X31"/>
      <c r="Y31"/>
      <c r="Z31"/>
      <c r="AA31"/>
      <c r="AB31"/>
      <c r="AC31" s="174" t="s">
        <v>228</v>
      </c>
    </row>
    <row r="32" spans="1:29" x14ac:dyDescent="0.25">
      <c r="L32"/>
      <c r="O32" s="499"/>
      <c r="P32" s="499"/>
      <c r="Q32"/>
      <c r="R32"/>
      <c r="S32"/>
      <c r="T32"/>
      <c r="U32" s="193"/>
      <c r="V32"/>
      <c r="W32"/>
      <c r="X32"/>
      <c r="Y32" s="193"/>
      <c r="Z32"/>
      <c r="AA32"/>
      <c r="AB32"/>
    </row>
    <row r="33" spans="1:42" x14ac:dyDescent="0.25">
      <c r="F33" s="193"/>
      <c r="L33" s="193"/>
      <c r="O33" s="499"/>
      <c r="P33" s="499"/>
      <c r="Q33" s="193"/>
      <c r="R33"/>
      <c r="S33"/>
      <c r="T33"/>
      <c r="U33" s="162"/>
      <c r="V33" s="162"/>
      <c r="W33" s="162"/>
      <c r="Y33" s="162"/>
      <c r="Z33" s="162"/>
      <c r="AA33" s="162"/>
      <c r="AG33" s="193"/>
      <c r="AH33"/>
      <c r="AI33"/>
      <c r="AJ33"/>
      <c r="AK33" s="193"/>
      <c r="AL33"/>
      <c r="AM33"/>
      <c r="AN33"/>
      <c r="AO33" s="174"/>
      <c r="AP33" s="174"/>
    </row>
    <row r="34" spans="1:42" x14ac:dyDescent="0.25">
      <c r="A34" s="193" t="s">
        <v>278</v>
      </c>
      <c r="C34" s="172"/>
      <c r="D34" s="172"/>
      <c r="O34" s="499"/>
      <c r="P34" s="499"/>
      <c r="T34"/>
      <c r="U34" s="162"/>
      <c r="V34" s="162"/>
      <c r="W34" s="162"/>
      <c r="Y34" s="162"/>
      <c r="Z34" s="162"/>
      <c r="AA34" s="162"/>
      <c r="AG34"/>
      <c r="AH34"/>
      <c r="AI34"/>
      <c r="AJ34"/>
      <c r="AK34"/>
      <c r="AL34"/>
      <c r="AM34"/>
      <c r="AN34"/>
      <c r="AO34" s="174"/>
      <c r="AP34" s="174"/>
    </row>
    <row r="35" spans="1:42" x14ac:dyDescent="0.25">
      <c r="A35" s="171" t="s">
        <v>920</v>
      </c>
      <c r="B35" s="575" t="str">
        <f>IF(CoreFlex!O21=G8,NA(),"")</f>
        <v/>
      </c>
      <c r="C35" s="172"/>
      <c r="D35" s="172"/>
      <c r="O35" s="499"/>
      <c r="P35" s="499"/>
      <c r="T35"/>
      <c r="U35" s="162"/>
      <c r="V35" s="162"/>
      <c r="W35" s="162"/>
      <c r="Y35" s="162"/>
      <c r="Z35" s="162"/>
      <c r="AA35" s="162"/>
      <c r="AG35"/>
      <c r="AH35"/>
      <c r="AI35"/>
      <c r="AJ35"/>
      <c r="AK35"/>
      <c r="AL35"/>
      <c r="AM35"/>
      <c r="AN35"/>
      <c r="AO35" s="174"/>
      <c r="AP35" s="174"/>
    </row>
    <row r="36" spans="1:42" x14ac:dyDescent="0.25">
      <c r="A36" s="194" t="s">
        <v>921</v>
      </c>
      <c r="B36" s="576" t="str">
        <f>IF(AND(CoreFlex!O11=B6,OR(CoreFlex!O22='Feed(CoreFlex)'!J5)),NA(),"")</f>
        <v/>
      </c>
      <c r="C36" s="162" t="s">
        <v>922</v>
      </c>
      <c r="D36" s="172"/>
      <c r="J36" s="172"/>
      <c r="K36" s="172"/>
      <c r="L36" s="172"/>
      <c r="O36" s="498"/>
      <c r="P36" s="498"/>
      <c r="Q36" s="172"/>
      <c r="U36" s="162"/>
      <c r="V36" s="162"/>
      <c r="W36" s="162"/>
      <c r="Y36" s="162"/>
      <c r="Z36" s="162"/>
      <c r="AA36" s="162"/>
      <c r="AI36" s="174"/>
      <c r="AJ36" s="174"/>
      <c r="AK36" s="172"/>
      <c r="AN36" s="174"/>
      <c r="AO36" s="174"/>
      <c r="AP36" s="174"/>
    </row>
    <row r="37" spans="1:42" x14ac:dyDescent="0.25">
      <c r="A37" s="194"/>
      <c r="B37" s="575"/>
      <c r="C37" s="172"/>
      <c r="D37" s="172"/>
      <c r="I37"/>
      <c r="J37"/>
      <c r="K37" s="172"/>
      <c r="O37" s="498"/>
      <c r="P37" s="498"/>
      <c r="Q37" s="172"/>
      <c r="U37" s="162"/>
      <c r="W37" s="162"/>
      <c r="Y37" s="162"/>
      <c r="AA37" s="162"/>
      <c r="AG37" s="172"/>
      <c r="AJ37" s="174"/>
      <c r="AK37" s="174"/>
      <c r="AL37" s="174"/>
      <c r="AM37" s="174"/>
      <c r="AN37" s="174"/>
      <c r="AO37" s="174"/>
      <c r="AP37" s="174"/>
    </row>
    <row r="38" spans="1:42" x14ac:dyDescent="0.25">
      <c r="A38" s="171"/>
      <c r="B38" s="576"/>
      <c r="D38" s="172"/>
      <c r="I38" s="172"/>
      <c r="J38" s="172"/>
      <c r="K38" s="172"/>
      <c r="O38" s="498"/>
      <c r="P38" s="498"/>
      <c r="Q38" s="172"/>
      <c r="U38" s="162"/>
      <c r="V38" s="162"/>
      <c r="W38" s="162"/>
      <c r="Y38" s="162"/>
      <c r="Z38" s="162"/>
      <c r="AA38" s="162"/>
      <c r="AH38"/>
      <c r="AI38" s="174"/>
      <c r="AJ38" s="174"/>
      <c r="AK38" s="174"/>
      <c r="AL38"/>
      <c r="AM38"/>
      <c r="AN38"/>
      <c r="AO38" s="174"/>
      <c r="AP38" s="174"/>
    </row>
    <row r="39" spans="1:42" x14ac:dyDescent="0.25">
      <c r="A39" s="183"/>
      <c r="B39" s="575"/>
      <c r="C39" s="172"/>
      <c r="D39" s="172"/>
      <c r="I39" s="172"/>
      <c r="J39" s="172"/>
      <c r="K39" s="172"/>
      <c r="O39" s="498"/>
      <c r="P39" s="498"/>
      <c r="Q39" s="172"/>
      <c r="U39" s="162"/>
      <c r="W39" s="162"/>
      <c r="Y39" s="162"/>
      <c r="AA39" s="162"/>
      <c r="AG39"/>
      <c r="AH39"/>
      <c r="AI39"/>
      <c r="AJ39"/>
      <c r="AK39"/>
      <c r="AL39"/>
      <c r="AM39"/>
      <c r="AN39"/>
      <c r="AO39" s="174"/>
      <c r="AP39" s="174"/>
    </row>
    <row r="40" spans="1:42" x14ac:dyDescent="0.25">
      <c r="A40" s="183"/>
      <c r="B40" s="575"/>
      <c r="C40" s="195"/>
      <c r="D40" s="172"/>
      <c r="E40" s="172"/>
      <c r="I40" s="172"/>
      <c r="J40" s="172"/>
      <c r="L40"/>
      <c r="O40" s="498"/>
      <c r="P40" s="498"/>
      <c r="Q40" s="172"/>
      <c r="U40" s="162"/>
      <c r="W40" s="162"/>
      <c r="Y40" s="162"/>
      <c r="AA40" s="162"/>
      <c r="AH40"/>
      <c r="AI40"/>
      <c r="AJ40"/>
      <c r="AK40"/>
      <c r="AL40"/>
      <c r="AM40"/>
      <c r="AN40"/>
      <c r="AO40" s="174"/>
      <c r="AP40" s="174"/>
    </row>
    <row r="41" spans="1:42" x14ac:dyDescent="0.25">
      <c r="A41" s="196"/>
      <c r="B41" s="575"/>
      <c r="C41" s="195"/>
      <c r="D41" s="172"/>
      <c r="K41"/>
      <c r="L41"/>
      <c r="M41"/>
      <c r="N41"/>
      <c r="O41" s="189"/>
      <c r="P41" s="189"/>
      <c r="Q41" s="172"/>
      <c r="U41" s="162"/>
      <c r="W41" s="162"/>
      <c r="Y41" s="162"/>
      <c r="AA41" s="162"/>
      <c r="AH41"/>
      <c r="AI41"/>
      <c r="AJ41"/>
      <c r="AK41"/>
      <c r="AL41"/>
      <c r="AM41"/>
      <c r="AN41"/>
      <c r="AO41" s="174"/>
      <c r="AP41" s="174"/>
    </row>
    <row r="42" spans="1:42" x14ac:dyDescent="0.25">
      <c r="A42" s="196"/>
      <c r="B42" s="576"/>
      <c r="D42" s="172"/>
      <c r="K42"/>
      <c r="L42"/>
      <c r="M42"/>
      <c r="N42"/>
      <c r="O42" s="189"/>
      <c r="P42" s="189"/>
      <c r="Q42" s="172"/>
      <c r="S42" s="172"/>
      <c r="U42" s="162"/>
      <c r="W42" s="162"/>
      <c r="Y42" s="162"/>
      <c r="AA42" s="162"/>
      <c r="AG42"/>
      <c r="AH42"/>
      <c r="AI42"/>
      <c r="AJ42"/>
      <c r="AK42"/>
      <c r="AL42"/>
      <c r="AM42"/>
      <c r="AN42"/>
      <c r="AO42" s="174"/>
      <c r="AP42" s="174"/>
    </row>
    <row r="43" spans="1:42" x14ac:dyDescent="0.25">
      <c r="A43" s="196"/>
      <c r="B43" s="576"/>
      <c r="D43" s="172"/>
      <c r="K43"/>
      <c r="L43"/>
      <c r="M43"/>
      <c r="N43"/>
      <c r="O43" s="189"/>
      <c r="P43" s="189"/>
      <c r="Q43" s="172"/>
      <c r="R43"/>
      <c r="S43" s="172"/>
      <c r="U43" s="162"/>
      <c r="W43" s="162"/>
      <c r="Y43" s="162"/>
      <c r="AA43" s="162"/>
      <c r="AG43" s="574"/>
      <c r="AH43"/>
      <c r="AI43"/>
      <c r="AJ43"/>
      <c r="AK43"/>
      <c r="AL43"/>
      <c r="AM43"/>
      <c r="AN43"/>
      <c r="AO43" s="174"/>
      <c r="AP43" s="174"/>
    </row>
    <row r="44" spans="1:42" x14ac:dyDescent="0.25">
      <c r="A44" s="171"/>
      <c r="B44" s="577"/>
      <c r="I44"/>
      <c r="J44"/>
      <c r="K44"/>
      <c r="L44"/>
      <c r="O44" s="189"/>
      <c r="P44" s="189"/>
      <c r="Q44" s="172"/>
      <c r="S44" s="172"/>
      <c r="U44" s="162"/>
      <c r="W44" s="162"/>
      <c r="Y44" s="162"/>
      <c r="AA44" s="162"/>
      <c r="AG44" s="574"/>
      <c r="AH44"/>
      <c r="AI44"/>
      <c r="AJ44"/>
      <c r="AK44"/>
      <c r="AL44"/>
      <c r="AM44"/>
      <c r="AN44"/>
      <c r="AO44" s="174"/>
      <c r="AP44" s="174"/>
    </row>
    <row r="45" spans="1:42" x14ac:dyDescent="0.25">
      <c r="A45" s="171"/>
      <c r="B45" s="576"/>
      <c r="I45"/>
      <c r="J45"/>
      <c r="K45"/>
      <c r="O45" s="189"/>
      <c r="P45" s="189"/>
      <c r="Q45" s="172"/>
      <c r="S45" s="172"/>
      <c r="U45" s="162"/>
      <c r="W45" s="162"/>
      <c r="Y45" s="162"/>
      <c r="AA45" s="162"/>
      <c r="AG45"/>
      <c r="AH45"/>
      <c r="AI45"/>
      <c r="AJ45"/>
      <c r="AK45"/>
      <c r="AL45"/>
      <c r="AM45"/>
      <c r="AN45"/>
      <c r="AO45" s="174"/>
      <c r="AP45" s="174"/>
    </row>
    <row r="46" spans="1:42" x14ac:dyDescent="0.25">
      <c r="A46" s="198" t="s">
        <v>532</v>
      </c>
      <c r="B46" s="578">
        <f>SUM(B35:B45)</f>
        <v>0</v>
      </c>
      <c r="E46" s="189"/>
      <c r="I46"/>
      <c r="J46"/>
      <c r="K46"/>
      <c r="O46" s="189"/>
      <c r="P46" s="189"/>
      <c r="Q46" s="172"/>
      <c r="S46" s="172"/>
      <c r="U46" s="162"/>
      <c r="W46" s="162"/>
      <c r="Y46" s="162"/>
      <c r="AA46" s="162"/>
      <c r="AH46" s="174"/>
      <c r="AJ46" s="174"/>
      <c r="AK46" s="174"/>
      <c r="AL46" s="174"/>
      <c r="AM46" s="174"/>
      <c r="AN46" s="174"/>
      <c r="AO46" s="174"/>
      <c r="AP46" s="174"/>
    </row>
    <row r="47" spans="1:42" x14ac:dyDescent="0.25">
      <c r="A47" s="193"/>
      <c r="B47" s="193"/>
      <c r="C47"/>
      <c r="E47" s="189"/>
      <c r="I47"/>
      <c r="J47"/>
      <c r="K47"/>
      <c r="O47" s="189"/>
      <c r="P47" s="189"/>
      <c r="Q47" s="172"/>
      <c r="S47" s="172"/>
      <c r="U47" s="162"/>
      <c r="W47" s="162"/>
      <c r="Y47" s="162"/>
      <c r="AA47" s="162"/>
      <c r="AH47" s="174"/>
      <c r="AJ47" s="174"/>
      <c r="AK47" s="174"/>
      <c r="AL47" s="174"/>
      <c r="AM47" s="174"/>
      <c r="AN47" s="174"/>
      <c r="AO47" s="174"/>
      <c r="AP47" s="174"/>
    </row>
    <row r="48" spans="1:42" x14ac:dyDescent="0.25">
      <c r="A48" s="172"/>
      <c r="B48" s="172"/>
      <c r="C48"/>
      <c r="I48"/>
      <c r="J48"/>
      <c r="K48"/>
      <c r="O48" s="189"/>
      <c r="P48" s="189"/>
      <c r="Q48" s="172"/>
      <c r="S48" s="172"/>
      <c r="U48" s="162"/>
      <c r="W48" s="162"/>
      <c r="Y48" s="162"/>
      <c r="AA48" s="162"/>
      <c r="AH48" s="174"/>
      <c r="AJ48" s="174"/>
      <c r="AK48" s="174"/>
      <c r="AL48" s="174"/>
      <c r="AM48" s="174"/>
      <c r="AN48" s="174"/>
      <c r="AO48" s="174"/>
      <c r="AP48" s="174"/>
    </row>
    <row r="49" spans="1:42" x14ac:dyDescent="0.25">
      <c r="A49" s="172"/>
      <c r="B49" s="172"/>
      <c r="C49"/>
      <c r="J49"/>
      <c r="K49"/>
      <c r="O49" s="189"/>
      <c r="P49" s="189"/>
      <c r="Q49" s="172"/>
      <c r="S49" s="172"/>
      <c r="U49" s="162"/>
      <c r="W49" s="162"/>
      <c r="Y49" s="162"/>
      <c r="AA49" s="162"/>
      <c r="AH49" s="174"/>
      <c r="AJ49" s="174"/>
      <c r="AK49" s="174"/>
      <c r="AL49" s="174"/>
      <c r="AM49" s="174"/>
      <c r="AN49" s="174"/>
      <c r="AO49" s="174"/>
      <c r="AP49" s="174"/>
    </row>
    <row r="50" spans="1:42" x14ac:dyDescent="0.25">
      <c r="A50" s="172"/>
      <c r="B50" s="172"/>
      <c r="C50"/>
      <c r="J50"/>
      <c r="K50"/>
      <c r="O50" s="189"/>
      <c r="P50" s="189"/>
      <c r="Q50" s="172"/>
      <c r="S50" s="172"/>
      <c r="U50" s="162"/>
      <c r="W50" s="162"/>
      <c r="Y50" s="162"/>
      <c r="AA50" s="162"/>
      <c r="AH50" s="174"/>
      <c r="AJ50" s="174"/>
      <c r="AK50" s="174"/>
      <c r="AL50" s="174"/>
      <c r="AM50" s="174"/>
      <c r="AN50" s="174"/>
      <c r="AO50" s="174"/>
      <c r="AP50" s="174"/>
    </row>
    <row r="51" spans="1:42" x14ac:dyDescent="0.25">
      <c r="A51" s="172"/>
      <c r="B51" s="172"/>
      <c r="C51"/>
      <c r="J51"/>
      <c r="K51"/>
      <c r="O51" s="189"/>
      <c r="P51" s="189"/>
      <c r="Q51" s="172"/>
      <c r="S51" s="172"/>
      <c r="U51" s="162"/>
      <c r="W51" s="162"/>
      <c r="Y51" s="162"/>
      <c r="AA51" s="162"/>
      <c r="AH51" s="174"/>
      <c r="AJ51" s="174"/>
      <c r="AK51" s="174"/>
      <c r="AL51" s="174"/>
      <c r="AM51" s="174"/>
      <c r="AN51" s="174"/>
      <c r="AO51" s="174"/>
      <c r="AP51" s="174"/>
    </row>
    <row r="52" spans="1:42" x14ac:dyDescent="0.25">
      <c r="A52" s="172"/>
      <c r="B52" s="172"/>
      <c r="C52"/>
      <c r="J52"/>
      <c r="K52"/>
      <c r="O52" s="189"/>
      <c r="P52" s="189"/>
      <c r="Q52" s="172"/>
      <c r="S52" s="172"/>
      <c r="U52" s="162"/>
      <c r="W52" s="162"/>
      <c r="Y52" s="162"/>
      <c r="AA52" s="199"/>
      <c r="AH52" s="174"/>
      <c r="AJ52" s="174"/>
      <c r="AK52" s="174"/>
      <c r="AL52" s="174"/>
      <c r="AM52" s="174"/>
      <c r="AN52" s="174"/>
      <c r="AO52" s="174"/>
      <c r="AP52" s="174"/>
    </row>
    <row r="53" spans="1:42" x14ac:dyDescent="0.25">
      <c r="A53" s="172"/>
      <c r="B53" s="172"/>
      <c r="O53" s="189"/>
      <c r="P53" s="189"/>
      <c r="Q53" s="172"/>
      <c r="S53" s="172"/>
      <c r="U53" s="162"/>
      <c r="W53" s="162"/>
      <c r="Y53" s="162"/>
      <c r="AA53" s="162"/>
      <c r="AH53" s="174"/>
      <c r="AJ53" s="174"/>
      <c r="AK53" s="174"/>
      <c r="AL53" s="174"/>
      <c r="AM53" s="174"/>
      <c r="AN53" s="174"/>
      <c r="AO53" s="174"/>
      <c r="AP53" s="174"/>
    </row>
    <row r="54" spans="1:42" x14ac:dyDescent="0.25">
      <c r="A54" s="172"/>
      <c r="B54" s="172"/>
      <c r="O54" s="189"/>
      <c r="P54" s="189"/>
      <c r="Q54" s="172"/>
      <c r="S54" s="172"/>
      <c r="U54" s="162"/>
      <c r="W54" s="162"/>
      <c r="AH54" s="174"/>
      <c r="AJ54" s="174"/>
      <c r="AK54" s="174"/>
      <c r="AL54" s="174"/>
      <c r="AM54" s="174"/>
      <c r="AN54" s="174"/>
      <c r="AO54" s="174"/>
      <c r="AP54" s="174"/>
    </row>
    <row r="55" spans="1:42" x14ac:dyDescent="0.25">
      <c r="O55" s="189"/>
      <c r="P55" s="189"/>
      <c r="Q55" s="172"/>
      <c r="S55" s="172"/>
      <c r="U55" s="162"/>
      <c r="W55" s="162"/>
      <c r="AJ55" s="174"/>
      <c r="AK55" s="174"/>
      <c r="AL55" s="174"/>
      <c r="AM55" s="174"/>
      <c r="AN55" s="174"/>
      <c r="AO55" s="174"/>
      <c r="AP55" s="174"/>
    </row>
    <row r="56" spans="1:42" x14ac:dyDescent="0.25">
      <c r="O56" s="189"/>
      <c r="P56" s="189"/>
      <c r="Q56" s="172"/>
      <c r="S56" s="172"/>
      <c r="AH56" s="174"/>
      <c r="AJ56" s="174"/>
      <c r="AK56" s="174"/>
      <c r="AL56" s="174"/>
      <c r="AM56" s="174"/>
      <c r="AN56" s="174"/>
      <c r="AO56" s="174"/>
      <c r="AP56" s="174"/>
    </row>
    <row r="57" spans="1:42" x14ac:dyDescent="0.25">
      <c r="O57" s="189"/>
      <c r="P57" s="189"/>
      <c r="Q57" s="172"/>
      <c r="S57" s="172"/>
      <c r="AH57" s="174"/>
      <c r="AJ57" s="174"/>
      <c r="AK57" s="174"/>
      <c r="AL57" s="174"/>
      <c r="AM57" s="174"/>
      <c r="AN57" s="174"/>
      <c r="AO57" s="174"/>
      <c r="AP57" s="174"/>
    </row>
    <row r="58" spans="1:42" ht="15.75" thickBot="1" x14ac:dyDescent="0.3">
      <c r="O58" s="189"/>
      <c r="P58" s="189"/>
      <c r="Q58" s="172"/>
      <c r="S58" s="172"/>
      <c r="AH58" s="174"/>
      <c r="AJ58" s="174"/>
      <c r="AK58" s="174"/>
      <c r="AL58" s="174"/>
      <c r="AM58" s="174"/>
      <c r="AN58" s="174"/>
      <c r="AO58" s="174"/>
      <c r="AP58" s="174"/>
    </row>
    <row r="59" spans="1:42" ht="15.75" thickBot="1" x14ac:dyDescent="0.3">
      <c r="B59" s="902" t="s">
        <v>619</v>
      </c>
      <c r="C59" s="903"/>
      <c r="D59" s="903"/>
      <c r="E59" s="904"/>
      <c r="F59" s="567"/>
      <c r="G59" s="567"/>
      <c r="I59" s="905" t="s">
        <v>619</v>
      </c>
      <c r="J59" s="906"/>
      <c r="K59" s="906"/>
      <c r="L59" s="906"/>
      <c r="O59" s="189"/>
      <c r="P59" s="189"/>
      <c r="Q59" s="172"/>
      <c r="S59" s="174"/>
      <c r="AH59" s="174"/>
      <c r="AJ59" s="174"/>
      <c r="AK59" s="174"/>
      <c r="AL59" s="174"/>
      <c r="AM59" s="174"/>
      <c r="AN59" s="174"/>
      <c r="AO59" s="174"/>
      <c r="AP59" s="174"/>
    </row>
    <row r="60" spans="1:42" ht="15.75" thickBot="1" x14ac:dyDescent="0.3">
      <c r="B60" s="579" t="s">
        <v>622</v>
      </c>
      <c r="C60" s="580" t="s">
        <v>210</v>
      </c>
      <c r="D60" s="580" t="s">
        <v>221</v>
      </c>
      <c r="E60" s="581" t="s">
        <v>177</v>
      </c>
      <c r="F60" s="570"/>
      <c r="G60" s="205" t="s">
        <v>623</v>
      </c>
      <c r="I60" s="206" t="s">
        <v>622</v>
      </c>
      <c r="J60" s="207" t="s">
        <v>210</v>
      </c>
      <c r="K60" s="207" t="s">
        <v>221</v>
      </c>
      <c r="L60" s="571" t="s">
        <v>177</v>
      </c>
      <c r="M60" s="570"/>
      <c r="N60" s="208">
        <v>0</v>
      </c>
      <c r="O60" s="189"/>
      <c r="P60" s="189"/>
      <c r="S60" s="174"/>
      <c r="AG60" s="174"/>
      <c r="AJ60" s="174"/>
      <c r="AK60" s="174"/>
      <c r="AL60" s="174"/>
      <c r="AM60" s="174"/>
      <c r="AN60" s="174"/>
      <c r="AO60" s="174"/>
      <c r="AP60" s="174"/>
    </row>
    <row r="61" spans="1:42" x14ac:dyDescent="0.25">
      <c r="B61" s="565">
        <f>CoreFlex!B11</f>
        <v>7.5</v>
      </c>
      <c r="C61" s="566">
        <f>CoreFlex!C11</f>
        <v>96.5</v>
      </c>
      <c r="D61" s="566"/>
      <c r="E61" s="566"/>
      <c r="F61" s="564"/>
      <c r="G61" s="399" t="e">
        <f>SUM(CoreFlex!P12:P35)+B46</f>
        <v>#N/A</v>
      </c>
      <c r="H61" s="587">
        <v>1</v>
      </c>
      <c r="I61" s="214">
        <f t="shared" ref="I61:I83" si="0">B61</f>
        <v>7.5</v>
      </c>
      <c r="J61" s="215" t="e">
        <f t="shared" ref="J61:J83" si="1">C61+$G$61</f>
        <v>#N/A</v>
      </c>
      <c r="K61" s="215"/>
      <c r="L61" s="215"/>
      <c r="M61" s="572"/>
      <c r="N61" s="212" cm="1">
        <f t="array" ref="N61:N83">I61:I83</f>
        <v>7.5</v>
      </c>
      <c r="O61" s="189"/>
      <c r="P61" s="189"/>
      <c r="S61" s="174"/>
      <c r="AH61" s="174"/>
      <c r="AJ61" s="174"/>
      <c r="AK61" s="174"/>
      <c r="AL61" s="174"/>
      <c r="AM61" s="174"/>
      <c r="AN61" s="174"/>
      <c r="AO61" s="174"/>
      <c r="AP61" s="174"/>
    </row>
    <row r="62" spans="1:42" x14ac:dyDescent="0.25">
      <c r="B62" s="217">
        <f>CoreFlex!B12</f>
        <v>7.625</v>
      </c>
      <c r="C62" s="218">
        <f>CoreFlex!C12</f>
        <v>96.875</v>
      </c>
      <c r="D62" s="218"/>
      <c r="E62" s="218"/>
      <c r="F62" s="564"/>
      <c r="G62" s="162" t="s">
        <v>626</v>
      </c>
      <c r="H62" s="587">
        <v>2</v>
      </c>
      <c r="I62" s="220">
        <f t="shared" si="0"/>
        <v>7.625</v>
      </c>
      <c r="J62" s="221" t="e">
        <f t="shared" si="1"/>
        <v>#N/A</v>
      </c>
      <c r="K62" s="221"/>
      <c r="L62" s="221"/>
      <c r="M62" s="572"/>
      <c r="N62" s="212">
        <v>7.625</v>
      </c>
      <c r="O62" s="189"/>
      <c r="P62" s="189"/>
      <c r="S62" s="174"/>
      <c r="AH62" s="174"/>
      <c r="AJ62" s="174"/>
      <c r="AK62" s="174"/>
      <c r="AL62" s="174"/>
      <c r="AM62" s="174"/>
      <c r="AN62" s="174"/>
      <c r="AO62" s="174"/>
      <c r="AP62" s="174"/>
    </row>
    <row r="63" spans="1:42" x14ac:dyDescent="0.25">
      <c r="B63" s="217">
        <f>CoreFlex!B13</f>
        <v>7.75</v>
      </c>
      <c r="C63" s="218">
        <f>CoreFlex!C13</f>
        <v>97.25</v>
      </c>
      <c r="D63" s="218"/>
      <c r="E63" s="218"/>
      <c r="F63" s="564"/>
      <c r="G63" s="205" t="s">
        <v>627</v>
      </c>
      <c r="H63" s="587">
        <v>3</v>
      </c>
      <c r="I63" s="220">
        <f t="shared" si="0"/>
        <v>7.75</v>
      </c>
      <c r="J63" s="221" t="e">
        <f t="shared" si="1"/>
        <v>#N/A</v>
      </c>
      <c r="K63" s="221"/>
      <c r="L63" s="221"/>
      <c r="M63" s="572"/>
      <c r="N63" s="212">
        <v>7.75</v>
      </c>
      <c r="O63" s="189"/>
      <c r="P63" s="189"/>
      <c r="S63" s="174"/>
      <c r="AG63" s="425"/>
      <c r="AH63" s="174"/>
      <c r="AJ63" s="174"/>
      <c r="AK63" s="174"/>
      <c r="AL63" s="174"/>
      <c r="AM63" s="174"/>
      <c r="AN63" s="174"/>
      <c r="AO63" s="174"/>
      <c r="AP63" s="174"/>
    </row>
    <row r="64" spans="1:42" ht="15.75" x14ac:dyDescent="0.25">
      <c r="B64" s="217">
        <f>CoreFlex!B14</f>
        <v>7.875</v>
      </c>
      <c r="C64" s="218">
        <f>CoreFlex!C14</f>
        <v>97.625</v>
      </c>
      <c r="D64" s="218"/>
      <c r="E64" s="218"/>
      <c r="F64" s="564"/>
      <c r="G64" s="212" t="e">
        <f>CoreFlex!P40</f>
        <v>#N/A</v>
      </c>
      <c r="H64" s="587">
        <v>4</v>
      </c>
      <c r="I64" s="220">
        <f t="shared" si="0"/>
        <v>7.875</v>
      </c>
      <c r="J64" s="221" t="e">
        <f t="shared" si="1"/>
        <v>#N/A</v>
      </c>
      <c r="K64" s="221"/>
      <c r="L64" s="221"/>
      <c r="M64" s="572"/>
      <c r="N64" s="212">
        <v>7.875</v>
      </c>
      <c r="O64" s="189"/>
      <c r="P64" s="399"/>
      <c r="S64" s="174"/>
      <c r="Y64" s="193"/>
      <c r="AG64" s="448"/>
      <c r="AH64" s="448"/>
      <c r="AI64" s="448"/>
      <c r="AJ64" s="174"/>
      <c r="AK64" s="174"/>
      <c r="AL64" s="174"/>
      <c r="AM64" s="174"/>
      <c r="AN64" s="174"/>
      <c r="AO64" s="174"/>
      <c r="AP64" s="174"/>
    </row>
    <row r="65" spans="2:48" ht="15.75" x14ac:dyDescent="0.25">
      <c r="B65" s="217">
        <f>CoreFlex!B15</f>
        <v>8</v>
      </c>
      <c r="C65" s="218">
        <f>CoreFlex!C15</f>
        <v>98</v>
      </c>
      <c r="D65" s="218"/>
      <c r="E65" s="218"/>
      <c r="F65" s="564"/>
      <c r="H65" s="587">
        <v>5</v>
      </c>
      <c r="I65" s="220">
        <f t="shared" si="0"/>
        <v>8</v>
      </c>
      <c r="J65" s="221" t="e">
        <f t="shared" si="1"/>
        <v>#N/A</v>
      </c>
      <c r="K65" s="221"/>
      <c r="L65" s="221"/>
      <c r="M65" s="572"/>
      <c r="N65" s="212">
        <v>8</v>
      </c>
      <c r="O65" s="189"/>
      <c r="P65" s="399"/>
      <c r="S65" s="174"/>
      <c r="U65" s="162"/>
      <c r="V65" s="162"/>
      <c r="W65" s="162"/>
      <c r="Y65" s="162"/>
      <c r="Z65" s="162"/>
      <c r="AA65" s="162"/>
      <c r="AG65" s="448"/>
      <c r="AH65" s="448"/>
      <c r="AI65" s="448"/>
      <c r="AJ65" s="174"/>
      <c r="AK65" s="174"/>
      <c r="AL65" s="174"/>
      <c r="AM65" s="174"/>
      <c r="AN65" s="174"/>
      <c r="AO65" s="174"/>
      <c r="AP65" s="174"/>
    </row>
    <row r="66" spans="2:48" ht="15.75" x14ac:dyDescent="0.25">
      <c r="B66" s="217">
        <f>CoreFlex!B16</f>
        <v>8.125</v>
      </c>
      <c r="C66" s="218">
        <f>CoreFlex!C16</f>
        <v>98.375</v>
      </c>
      <c r="D66" s="218"/>
      <c r="E66" s="218"/>
      <c r="F66" s="564"/>
      <c r="H66" s="587">
        <v>6</v>
      </c>
      <c r="I66" s="220">
        <f t="shared" si="0"/>
        <v>8.125</v>
      </c>
      <c r="J66" s="221" t="e">
        <f t="shared" si="1"/>
        <v>#N/A</v>
      </c>
      <c r="K66" s="221"/>
      <c r="L66" s="221"/>
      <c r="M66" s="572"/>
      <c r="N66" s="212">
        <v>8.125</v>
      </c>
      <c r="O66" s="189"/>
      <c r="P66" s="399"/>
      <c r="S66" s="174"/>
      <c r="U66" s="162"/>
      <c r="V66" s="162"/>
      <c r="W66" s="162"/>
      <c r="Y66" s="162"/>
      <c r="Z66" s="162"/>
      <c r="AA66" s="162"/>
      <c r="AG66" s="448"/>
      <c r="AH66" s="448"/>
      <c r="AI66" s="448"/>
      <c r="AJ66" s="174"/>
      <c r="AK66" s="174"/>
      <c r="AL66" s="174"/>
      <c r="AM66" s="174"/>
      <c r="AN66" s="174"/>
      <c r="AO66" s="174"/>
      <c r="AP66" s="174"/>
    </row>
    <row r="67" spans="2:48" ht="15.75" x14ac:dyDescent="0.25">
      <c r="B67" s="217">
        <f>CoreFlex!B17</f>
        <v>8.25</v>
      </c>
      <c r="C67" s="218">
        <f>CoreFlex!C17</f>
        <v>98.75</v>
      </c>
      <c r="D67" s="218"/>
      <c r="E67" s="218"/>
      <c r="F67" s="564"/>
      <c r="H67" s="587">
        <v>7</v>
      </c>
      <c r="I67" s="220">
        <f t="shared" si="0"/>
        <v>8.25</v>
      </c>
      <c r="J67" s="221" t="e">
        <f t="shared" si="1"/>
        <v>#N/A</v>
      </c>
      <c r="K67" s="221"/>
      <c r="L67" s="221"/>
      <c r="M67" s="572"/>
      <c r="N67" s="212">
        <v>8.25</v>
      </c>
      <c r="O67" s="189"/>
      <c r="P67" s="399"/>
      <c r="S67" s="174"/>
      <c r="Y67" s="162"/>
      <c r="Z67" s="162"/>
      <c r="AA67" s="162"/>
      <c r="AG67" s="448"/>
      <c r="AH67" s="448"/>
      <c r="AI67" s="448"/>
      <c r="AJ67" s="174"/>
      <c r="AK67" s="174"/>
      <c r="AL67" s="174"/>
      <c r="AM67" s="174"/>
      <c r="AN67" s="174"/>
      <c r="AO67" s="174"/>
      <c r="AP67" s="174"/>
    </row>
    <row r="68" spans="2:48" ht="15.75" x14ac:dyDescent="0.25">
      <c r="B68" s="217">
        <f>CoreFlex!B18</f>
        <v>8.375</v>
      </c>
      <c r="C68" s="218">
        <f>CoreFlex!C18</f>
        <v>99.125</v>
      </c>
      <c r="D68" s="218"/>
      <c r="E68" s="218"/>
      <c r="F68" s="564"/>
      <c r="G68" s="586" t="s">
        <v>210</v>
      </c>
      <c r="H68" s="587">
        <v>8</v>
      </c>
      <c r="I68" s="220">
        <f t="shared" si="0"/>
        <v>8.375</v>
      </c>
      <c r="J68" s="221" t="e">
        <f t="shared" si="1"/>
        <v>#N/A</v>
      </c>
      <c r="K68" s="221"/>
      <c r="L68" s="221"/>
      <c r="M68" s="572"/>
      <c r="N68" s="212">
        <v>8.375</v>
      </c>
      <c r="O68" s="189"/>
      <c r="P68" s="399"/>
      <c r="S68" s="174"/>
      <c r="U68" s="162"/>
      <c r="V68" s="162"/>
      <c r="W68" s="162"/>
      <c r="Y68" s="162"/>
      <c r="Z68" s="162"/>
      <c r="AA68" s="162"/>
      <c r="AG68" s="448"/>
      <c r="AH68" s="448"/>
      <c r="AI68" s="448"/>
      <c r="AJ68" s="174"/>
      <c r="AK68" s="174"/>
      <c r="AL68" s="174"/>
      <c r="AM68" s="174"/>
      <c r="AN68" s="174"/>
      <c r="AO68" s="174"/>
      <c r="AP68" s="174"/>
    </row>
    <row r="69" spans="2:48" ht="15.75" x14ac:dyDescent="0.25">
      <c r="B69" s="217">
        <f>CoreFlex!B19</f>
        <v>8.5</v>
      </c>
      <c r="C69" s="218">
        <f>CoreFlex!C19</f>
        <v>99.5</v>
      </c>
      <c r="D69" s="218"/>
      <c r="E69" s="218"/>
      <c r="F69" s="564"/>
      <c r="G69" s="189" t="str">
        <f>DSCR!S17</f>
        <v>DSCR</v>
      </c>
      <c r="H69" s="587">
        <v>9</v>
      </c>
      <c r="I69" s="220">
        <f t="shared" si="0"/>
        <v>8.5</v>
      </c>
      <c r="J69" s="221" t="e">
        <f t="shared" si="1"/>
        <v>#N/A</v>
      </c>
      <c r="K69" s="221"/>
      <c r="L69" s="221"/>
      <c r="M69" s="572"/>
      <c r="N69" s="212">
        <v>8.5</v>
      </c>
      <c r="O69" s="189"/>
      <c r="P69" s="399"/>
      <c r="S69" s="174"/>
      <c r="U69" s="162"/>
      <c r="V69" s="162"/>
      <c r="W69" s="162"/>
      <c r="Y69" s="162"/>
      <c r="Z69" s="162"/>
      <c r="AA69" s="162"/>
      <c r="AG69" s="448"/>
      <c r="AH69" s="448"/>
      <c r="AI69" s="448"/>
      <c r="AJ69" s="174"/>
      <c r="AK69" s="174"/>
      <c r="AL69" s="174"/>
      <c r="AM69" s="174"/>
      <c r="AN69" s="174"/>
      <c r="AO69" s="174"/>
      <c r="AP69" s="174"/>
    </row>
    <row r="70" spans="2:48" ht="15.75" x14ac:dyDescent="0.25">
      <c r="B70" s="217">
        <f>CoreFlex!B20</f>
        <v>8.625</v>
      </c>
      <c r="C70" s="218">
        <f>CoreFlex!C20</f>
        <v>99.875</v>
      </c>
      <c r="D70" s="218"/>
      <c r="E70" s="218"/>
      <c r="F70" s="564"/>
      <c r="G70" s="162" t="str">
        <f>IF(DSCR!S24="DSCR 5-8", "DSCR 5-8", "")</f>
        <v/>
      </c>
      <c r="H70" s="587">
        <v>10</v>
      </c>
      <c r="I70" s="220">
        <f t="shared" si="0"/>
        <v>8.625</v>
      </c>
      <c r="J70" s="221" t="e">
        <f t="shared" si="1"/>
        <v>#N/A</v>
      </c>
      <c r="K70" s="221"/>
      <c r="L70" s="221"/>
      <c r="M70" s="572"/>
      <c r="N70" s="212">
        <v>8.625</v>
      </c>
      <c r="O70" s="189"/>
      <c r="P70" s="399"/>
      <c r="S70" s="174"/>
      <c r="U70" s="162"/>
      <c r="V70" s="162"/>
      <c r="W70" s="162"/>
      <c r="Y70" s="162"/>
      <c r="Z70" s="162"/>
      <c r="AA70" s="162"/>
      <c r="AG70" s="448"/>
      <c r="AH70" s="448"/>
      <c r="AI70" s="448"/>
      <c r="AJ70" s="174"/>
      <c r="AK70" s="174"/>
      <c r="AL70" s="174"/>
      <c r="AM70" s="174"/>
      <c r="AN70" s="174"/>
      <c r="AO70" s="174"/>
      <c r="AP70" s="174"/>
    </row>
    <row r="71" spans="2:48" ht="15.75" x14ac:dyDescent="0.25">
      <c r="B71" s="217">
        <f>CoreFlex!B21</f>
        <v>8.75</v>
      </c>
      <c r="C71" s="218">
        <f>CoreFlex!C21</f>
        <v>100.25</v>
      </c>
      <c r="D71" s="218"/>
      <c r="E71" s="218"/>
      <c r="F71" s="564"/>
      <c r="H71" s="587">
        <v>11</v>
      </c>
      <c r="I71" s="220">
        <f t="shared" si="0"/>
        <v>8.75</v>
      </c>
      <c r="J71" s="221" t="e">
        <f t="shared" si="1"/>
        <v>#N/A</v>
      </c>
      <c r="K71" s="221"/>
      <c r="L71" s="221"/>
      <c r="M71" s="572"/>
      <c r="N71" s="212">
        <v>8.75</v>
      </c>
      <c r="O71" s="189"/>
      <c r="P71" s="399"/>
      <c r="S71" s="174"/>
      <c r="Y71" s="162"/>
      <c r="Z71" s="162"/>
      <c r="AA71" s="162"/>
      <c r="AG71" s="450"/>
      <c r="AH71" s="450"/>
      <c r="AI71" s="450"/>
      <c r="AM71" s="174"/>
      <c r="AN71" s="174"/>
      <c r="AO71" s="174"/>
      <c r="AP71" s="174"/>
      <c r="AQ71" s="174"/>
      <c r="AR71" s="174"/>
      <c r="AS71" s="174"/>
      <c r="AT71" s="174"/>
      <c r="AU71" s="174"/>
      <c r="AV71" s="174"/>
    </row>
    <row r="72" spans="2:48" ht="15.75" x14ac:dyDescent="0.25">
      <c r="B72" s="217">
        <f>CoreFlex!B22</f>
        <v>8.875</v>
      </c>
      <c r="C72" s="218">
        <f>CoreFlex!C22</f>
        <v>100.5</v>
      </c>
      <c r="D72" s="218"/>
      <c r="E72" s="218"/>
      <c r="F72" s="564"/>
      <c r="H72" s="587">
        <v>12</v>
      </c>
      <c r="I72" s="220">
        <f t="shared" si="0"/>
        <v>8.875</v>
      </c>
      <c r="J72" s="221" t="e">
        <f t="shared" si="1"/>
        <v>#N/A</v>
      </c>
      <c r="K72" s="221"/>
      <c r="L72" s="221"/>
      <c r="M72" s="572"/>
      <c r="N72" s="212">
        <v>8.875</v>
      </c>
      <c r="O72" s="189"/>
      <c r="P72" s="189"/>
      <c r="S72" s="174"/>
      <c r="Y72" s="162"/>
      <c r="Z72" s="162"/>
      <c r="AA72" s="162"/>
      <c r="AG72" s="450"/>
      <c r="AH72" s="450"/>
      <c r="AI72" s="450"/>
      <c r="AM72" s="174"/>
      <c r="AN72" s="174"/>
      <c r="AO72" s="174"/>
      <c r="AP72" s="174"/>
      <c r="AQ72" s="174"/>
      <c r="AR72" s="174"/>
      <c r="AS72" s="174"/>
      <c r="AT72" s="174"/>
      <c r="AU72" s="174"/>
      <c r="AV72" s="174"/>
    </row>
    <row r="73" spans="2:48" ht="15.75" x14ac:dyDescent="0.25">
      <c r="B73" s="217">
        <f>CoreFlex!B23</f>
        <v>9</v>
      </c>
      <c r="C73" s="218">
        <f>CoreFlex!C23</f>
        <v>100.75</v>
      </c>
      <c r="D73" s="218"/>
      <c r="E73" s="218"/>
      <c r="F73" s="564"/>
      <c r="G73" s="212"/>
      <c r="H73" s="587">
        <v>13</v>
      </c>
      <c r="I73" s="220">
        <f t="shared" si="0"/>
        <v>9</v>
      </c>
      <c r="J73" s="221" t="e">
        <f t="shared" si="1"/>
        <v>#N/A</v>
      </c>
      <c r="K73" s="221"/>
      <c r="L73" s="221"/>
      <c r="M73" s="572"/>
      <c r="N73" s="212">
        <v>9</v>
      </c>
      <c r="O73" s="189"/>
      <c r="P73" s="189"/>
      <c r="S73" s="174"/>
      <c r="Y73" s="162"/>
      <c r="Z73" s="162"/>
      <c r="AA73" s="162"/>
      <c r="AG73" s="450"/>
      <c r="AH73" s="450"/>
      <c r="AI73" s="450"/>
      <c r="AM73" s="174"/>
      <c r="AN73" s="174"/>
      <c r="AO73" s="174"/>
      <c r="AP73" s="174"/>
      <c r="AQ73" s="174"/>
      <c r="AR73" s="174"/>
      <c r="AS73" s="174"/>
    </row>
    <row r="74" spans="2:48" ht="15.75" x14ac:dyDescent="0.25">
      <c r="B74" s="217">
        <f>CoreFlex!B24</f>
        <v>9.125</v>
      </c>
      <c r="C74" s="218">
        <f>CoreFlex!C24</f>
        <v>101</v>
      </c>
      <c r="D74" s="218"/>
      <c r="E74" s="218"/>
      <c r="F74" s="564"/>
      <c r="H74" s="587">
        <v>14</v>
      </c>
      <c r="I74" s="220">
        <f t="shared" si="0"/>
        <v>9.125</v>
      </c>
      <c r="J74" s="221" t="e">
        <f t="shared" si="1"/>
        <v>#N/A</v>
      </c>
      <c r="K74" s="221"/>
      <c r="L74" s="221"/>
      <c r="M74" s="572"/>
      <c r="N74" s="212">
        <v>9.125</v>
      </c>
      <c r="O74" s="189"/>
      <c r="P74" s="189"/>
      <c r="S74" s="174"/>
      <c r="Y74" s="162"/>
      <c r="AA74" s="162"/>
      <c r="AG74" s="450"/>
      <c r="AH74" s="450"/>
      <c r="AI74" s="450"/>
      <c r="AM74" s="174"/>
      <c r="AN74" s="174"/>
      <c r="AO74" s="174"/>
      <c r="AP74" s="174"/>
      <c r="AQ74" s="174"/>
      <c r="AR74" s="174"/>
      <c r="AS74" s="174"/>
    </row>
    <row r="75" spans="2:48" ht="15.75" x14ac:dyDescent="0.25">
      <c r="B75" s="217">
        <f>CoreFlex!B25</f>
        <v>9.25</v>
      </c>
      <c r="C75" s="218">
        <f>CoreFlex!C25</f>
        <v>101.25</v>
      </c>
      <c r="D75" s="218"/>
      <c r="E75" s="218"/>
      <c r="F75" s="564"/>
      <c r="H75" s="587">
        <v>15</v>
      </c>
      <c r="I75" s="220">
        <f t="shared" si="0"/>
        <v>9.25</v>
      </c>
      <c r="J75" s="221" t="e">
        <f t="shared" si="1"/>
        <v>#N/A</v>
      </c>
      <c r="K75" s="221"/>
      <c r="L75" s="221"/>
      <c r="M75" s="572"/>
      <c r="N75" s="212">
        <v>9.25</v>
      </c>
      <c r="O75" s="189"/>
      <c r="P75" s="189"/>
      <c r="S75" s="174"/>
      <c r="Y75" s="162"/>
      <c r="Z75" s="162"/>
      <c r="AA75" s="162"/>
      <c r="AG75" s="450"/>
      <c r="AH75" s="450"/>
      <c r="AI75" s="450"/>
      <c r="AK75"/>
      <c r="AL75"/>
      <c r="AM75"/>
      <c r="AN75"/>
      <c r="AO75"/>
      <c r="AP75"/>
      <c r="AQ75"/>
      <c r="AR75"/>
      <c r="AS75"/>
      <c r="AT75"/>
      <c r="AU75"/>
      <c r="AV75"/>
    </row>
    <row r="76" spans="2:48" ht="15.75" x14ac:dyDescent="0.25">
      <c r="B76" s="217">
        <f>CoreFlex!B26</f>
        <v>9.375</v>
      </c>
      <c r="C76" s="218">
        <f>CoreFlex!C26</f>
        <v>101.5</v>
      </c>
      <c r="D76" s="218"/>
      <c r="E76" s="218"/>
      <c r="F76" s="564"/>
      <c r="G76" s="212"/>
      <c r="H76" s="587">
        <v>16</v>
      </c>
      <c r="I76" s="220">
        <f t="shared" si="0"/>
        <v>9.375</v>
      </c>
      <c r="J76" s="221" t="e">
        <f t="shared" si="1"/>
        <v>#N/A</v>
      </c>
      <c r="K76" s="221"/>
      <c r="L76" s="221"/>
      <c r="M76" s="572"/>
      <c r="N76" s="212">
        <v>9.375</v>
      </c>
      <c r="O76" s="189"/>
      <c r="P76" s="189"/>
      <c r="S76" s="174"/>
      <c r="Y76" s="162"/>
      <c r="AA76" s="162"/>
      <c r="AG76" s="450"/>
      <c r="AH76" s="450"/>
      <c r="AI76" s="450"/>
      <c r="AK76"/>
      <c r="AL76"/>
      <c r="AM76"/>
      <c r="AN76"/>
      <c r="AO76"/>
      <c r="AP76"/>
      <c r="AQ76"/>
      <c r="AR76"/>
      <c r="AS76"/>
      <c r="AT76"/>
      <c r="AU76"/>
      <c r="AV76"/>
    </row>
    <row r="77" spans="2:48" ht="15.75" x14ac:dyDescent="0.25">
      <c r="B77" s="217">
        <f>CoreFlex!B27</f>
        <v>9.5</v>
      </c>
      <c r="C77" s="218">
        <f>CoreFlex!C27</f>
        <v>101.75</v>
      </c>
      <c r="D77" s="218"/>
      <c r="E77" s="218"/>
      <c r="F77" s="564"/>
      <c r="G77" s="212"/>
      <c r="H77" s="587">
        <v>17</v>
      </c>
      <c r="I77" s="220">
        <f t="shared" si="0"/>
        <v>9.5</v>
      </c>
      <c r="J77" s="221" t="e">
        <f t="shared" si="1"/>
        <v>#N/A</v>
      </c>
      <c r="K77" s="221"/>
      <c r="L77" s="221"/>
      <c r="M77" s="572"/>
      <c r="N77" s="212">
        <v>9.5</v>
      </c>
      <c r="O77" s="189"/>
      <c r="P77" s="189"/>
      <c r="S77" s="174"/>
      <c r="Y77" s="162"/>
      <c r="AA77" s="162"/>
      <c r="AG77" s="450"/>
      <c r="AH77" s="450"/>
      <c r="AI77" s="450"/>
      <c r="AK77"/>
      <c r="AL77"/>
      <c r="AM77"/>
      <c r="AN77"/>
      <c r="AO77"/>
      <c r="AP77"/>
      <c r="AQ77"/>
      <c r="AR77"/>
      <c r="AS77"/>
      <c r="AT77"/>
      <c r="AU77"/>
      <c r="AV77"/>
    </row>
    <row r="78" spans="2:48" ht="15.75" x14ac:dyDescent="0.25">
      <c r="B78" s="217">
        <f>CoreFlex!B28</f>
        <v>9.625</v>
      </c>
      <c r="C78" s="218">
        <f>CoreFlex!C28</f>
        <v>102</v>
      </c>
      <c r="D78" s="218"/>
      <c r="E78" s="218"/>
      <c r="F78" s="564"/>
      <c r="H78" s="587">
        <v>18</v>
      </c>
      <c r="I78" s="225">
        <f t="shared" si="0"/>
        <v>9.625</v>
      </c>
      <c r="J78" s="226" t="e">
        <f t="shared" si="1"/>
        <v>#N/A</v>
      </c>
      <c r="K78" s="226"/>
      <c r="L78" s="226"/>
      <c r="M78" s="572"/>
      <c r="N78" s="212">
        <v>9.625</v>
      </c>
      <c r="O78" s="189"/>
      <c r="P78" s="189"/>
      <c r="S78" s="174"/>
      <c r="Y78" s="162"/>
      <c r="AA78" s="162"/>
      <c r="AG78" s="450"/>
      <c r="AH78" s="450"/>
      <c r="AI78" s="450"/>
      <c r="AK78"/>
      <c r="AL78"/>
      <c r="AM78"/>
      <c r="AN78"/>
      <c r="AO78"/>
      <c r="AP78"/>
      <c r="AQ78"/>
      <c r="AR78"/>
      <c r="AS78"/>
      <c r="AT78"/>
      <c r="AU78"/>
      <c r="AV78"/>
    </row>
    <row r="79" spans="2:48" ht="15.75" x14ac:dyDescent="0.25">
      <c r="B79" s="217">
        <f>CoreFlex!B29</f>
        <v>9.75</v>
      </c>
      <c r="C79" s="218">
        <f>CoreFlex!C29</f>
        <v>102.25</v>
      </c>
      <c r="D79" s="218"/>
      <c r="E79" s="218"/>
      <c r="F79" s="564"/>
      <c r="H79" s="587">
        <v>19</v>
      </c>
      <c r="I79" s="225">
        <f t="shared" si="0"/>
        <v>9.75</v>
      </c>
      <c r="J79" s="226" t="e">
        <f t="shared" si="1"/>
        <v>#N/A</v>
      </c>
      <c r="K79" s="226"/>
      <c r="L79" s="226"/>
      <c r="M79" s="572"/>
      <c r="N79" s="212">
        <v>9.75</v>
      </c>
      <c r="O79" s="189"/>
      <c r="P79" s="189"/>
      <c r="S79" s="174"/>
      <c r="Y79" s="162"/>
      <c r="AA79" s="162"/>
      <c r="AG79" s="450"/>
      <c r="AH79" s="450"/>
      <c r="AI79" s="450"/>
      <c r="AK79"/>
      <c r="AL79"/>
      <c r="AM79"/>
      <c r="AN79"/>
      <c r="AO79"/>
      <c r="AP79"/>
      <c r="AQ79"/>
      <c r="AR79"/>
      <c r="AS79"/>
      <c r="AT79"/>
      <c r="AU79"/>
      <c r="AV79"/>
    </row>
    <row r="80" spans="2:48" ht="15.75" x14ac:dyDescent="0.25">
      <c r="B80" s="217">
        <f>CoreFlex!B30</f>
        <v>0</v>
      </c>
      <c r="C80" s="218">
        <f>CoreFlex!C30</f>
        <v>0</v>
      </c>
      <c r="D80" s="218"/>
      <c r="E80" s="218"/>
      <c r="F80" s="564"/>
      <c r="H80" s="587">
        <v>20</v>
      </c>
      <c r="I80" s="220">
        <f t="shared" si="0"/>
        <v>0</v>
      </c>
      <c r="J80" s="221" t="e">
        <f t="shared" si="1"/>
        <v>#N/A</v>
      </c>
      <c r="K80" s="221"/>
      <c r="L80" s="221"/>
      <c r="M80" s="572"/>
      <c r="N80" s="212">
        <v>0</v>
      </c>
      <c r="O80" s="189"/>
      <c r="P80" s="189"/>
      <c r="S80" s="174"/>
      <c r="Y80" s="162"/>
      <c r="AA80" s="162"/>
      <c r="AG80" s="450"/>
      <c r="AH80" s="450"/>
      <c r="AI80" s="450"/>
      <c r="AK80"/>
      <c r="AL80"/>
      <c r="AM80"/>
      <c r="AN80"/>
      <c r="AO80"/>
      <c r="AP80"/>
      <c r="AQ80"/>
      <c r="AR80"/>
      <c r="AS80"/>
      <c r="AT80"/>
      <c r="AU80"/>
      <c r="AV80"/>
    </row>
    <row r="81" spans="2:48" ht="15.75" x14ac:dyDescent="0.25">
      <c r="B81" s="217">
        <f>CoreFlex!B31</f>
        <v>0</v>
      </c>
      <c r="C81" s="218">
        <f>CoreFlex!C31</f>
        <v>0</v>
      </c>
      <c r="D81" s="218"/>
      <c r="E81" s="218"/>
      <c r="F81" s="564"/>
      <c r="H81" s="587">
        <v>21</v>
      </c>
      <c r="I81" s="220">
        <f t="shared" si="0"/>
        <v>0</v>
      </c>
      <c r="J81" s="221" t="e">
        <f t="shared" si="1"/>
        <v>#N/A</v>
      </c>
      <c r="K81" s="221"/>
      <c r="L81" s="221"/>
      <c r="M81" s="572"/>
      <c r="N81" s="212">
        <v>0</v>
      </c>
      <c r="O81" s="189"/>
      <c r="P81" s="189"/>
      <c r="S81" s="174"/>
      <c r="Y81" s="162"/>
      <c r="AA81" s="162"/>
      <c r="AG81" s="450"/>
      <c r="AH81" s="450"/>
      <c r="AI81" s="450"/>
      <c r="AK81"/>
      <c r="AL81"/>
      <c r="AM81"/>
      <c r="AN81"/>
      <c r="AO81"/>
      <c r="AP81"/>
      <c r="AQ81"/>
      <c r="AR81"/>
      <c r="AS81"/>
      <c r="AT81"/>
      <c r="AU81"/>
      <c r="AV81"/>
    </row>
    <row r="82" spans="2:48" x14ac:dyDescent="0.25">
      <c r="B82" s="217">
        <f>CoreFlex!B32</f>
        <v>0</v>
      </c>
      <c r="C82" s="218">
        <f>CoreFlex!C32</f>
        <v>0</v>
      </c>
      <c r="D82" s="218"/>
      <c r="E82" s="218"/>
      <c r="F82" s="564"/>
      <c r="H82" s="587">
        <v>22</v>
      </c>
      <c r="I82" s="220">
        <f t="shared" si="0"/>
        <v>0</v>
      </c>
      <c r="J82" s="221" t="e">
        <f t="shared" si="1"/>
        <v>#N/A</v>
      </c>
      <c r="K82" s="221"/>
      <c r="L82" s="221"/>
      <c r="M82" s="572"/>
      <c r="N82" s="212">
        <v>0</v>
      </c>
      <c r="O82" s="189"/>
      <c r="P82" s="189"/>
      <c r="S82" s="174"/>
      <c r="Y82" s="162"/>
      <c r="AA82" s="162"/>
      <c r="AK82"/>
      <c r="AL82"/>
      <c r="AM82"/>
      <c r="AN82"/>
      <c r="AO82"/>
      <c r="AP82"/>
      <c r="AQ82"/>
      <c r="AR82"/>
      <c r="AS82"/>
      <c r="AT82"/>
      <c r="AU82"/>
      <c r="AV82"/>
    </row>
    <row r="83" spans="2:48" x14ac:dyDescent="0.25">
      <c r="B83" s="217">
        <f>CoreFlex!B33</f>
        <v>0</v>
      </c>
      <c r="C83" s="218">
        <f>CoreFlex!C33</f>
        <v>0</v>
      </c>
      <c r="D83" s="218"/>
      <c r="E83" s="218"/>
      <c r="F83" s="564"/>
      <c r="H83" s="587">
        <v>23</v>
      </c>
      <c r="I83" s="220">
        <f t="shared" si="0"/>
        <v>0</v>
      </c>
      <c r="J83" s="221" t="e">
        <f t="shared" si="1"/>
        <v>#N/A</v>
      </c>
      <c r="K83" s="221"/>
      <c r="L83" s="221"/>
      <c r="M83" s="572"/>
      <c r="N83" s="212">
        <v>0</v>
      </c>
      <c r="O83" s="189"/>
      <c r="P83" s="189"/>
      <c r="S83" s="174"/>
      <c r="Y83" s="162"/>
      <c r="AA83" s="162"/>
      <c r="AK83"/>
      <c r="AL83"/>
      <c r="AM83"/>
      <c r="AN83"/>
      <c r="AO83"/>
      <c r="AP83"/>
      <c r="AQ83"/>
      <c r="AR83"/>
      <c r="AS83"/>
      <c r="AT83"/>
      <c r="AU83"/>
      <c r="AV83"/>
    </row>
    <row r="84" spans="2:48" x14ac:dyDescent="0.25">
      <c r="B84" s="217"/>
      <c r="C84" s="218"/>
      <c r="D84" s="218"/>
      <c r="E84" s="218"/>
      <c r="F84" s="564"/>
      <c r="H84" s="587"/>
      <c r="I84" s="220"/>
      <c r="J84" s="221"/>
      <c r="K84" s="221"/>
      <c r="L84" s="221"/>
      <c r="M84" s="572"/>
      <c r="N84" s="212"/>
      <c r="O84" s="189"/>
      <c r="P84" s="189"/>
      <c r="S84" s="174"/>
      <c r="Y84" s="162"/>
      <c r="AA84" s="162"/>
      <c r="AK84"/>
      <c r="AL84"/>
      <c r="AM84"/>
      <c r="AN84"/>
      <c r="AO84"/>
      <c r="AP84"/>
      <c r="AQ84"/>
      <c r="AR84"/>
      <c r="AS84"/>
      <c r="AT84"/>
      <c r="AU84"/>
      <c r="AV84"/>
    </row>
    <row r="85" spans="2:48" x14ac:dyDescent="0.25">
      <c r="B85" s="217"/>
      <c r="C85" s="218"/>
      <c r="D85" s="218"/>
      <c r="E85" s="218"/>
      <c r="F85" s="564"/>
      <c r="H85" s="587"/>
      <c r="I85" s="220"/>
      <c r="J85" s="221"/>
      <c r="K85" s="221"/>
      <c r="L85" s="221"/>
      <c r="M85" s="572"/>
      <c r="N85" s="212"/>
      <c r="O85" s="189"/>
      <c r="P85" s="189"/>
      <c r="S85" s="174"/>
      <c r="Y85" s="162"/>
      <c r="AA85" s="162"/>
      <c r="AB85"/>
      <c r="AC85"/>
      <c r="AD85"/>
      <c r="AE85"/>
      <c r="AF85"/>
      <c r="AG85"/>
      <c r="AH85"/>
      <c r="AI85"/>
      <c r="AJ85"/>
      <c r="AK85"/>
      <c r="AL85"/>
      <c r="AM85"/>
      <c r="AN85"/>
    </row>
    <row r="86" spans="2:48" x14ac:dyDescent="0.25">
      <c r="B86" s="217"/>
      <c r="C86" s="218"/>
      <c r="D86" s="218"/>
      <c r="E86" s="218"/>
      <c r="F86" s="564"/>
      <c r="H86" s="587"/>
      <c r="I86" s="220"/>
      <c r="J86" s="221"/>
      <c r="K86" s="221"/>
      <c r="L86" s="221"/>
      <c r="M86" s="572"/>
      <c r="N86" s="212"/>
      <c r="O86" s="189"/>
      <c r="P86" s="189"/>
      <c r="S86" s="174"/>
      <c r="Y86" s="162"/>
      <c r="Z86" s="162"/>
      <c r="AA86" s="162"/>
      <c r="AB86"/>
      <c r="AC86"/>
      <c r="AD86"/>
      <c r="AE86"/>
      <c r="AF86"/>
      <c r="AG86"/>
      <c r="AH86"/>
      <c r="AI86"/>
      <c r="AJ86"/>
      <c r="AK86"/>
      <c r="AL86"/>
      <c r="AM86"/>
      <c r="AN86"/>
    </row>
    <row r="87" spans="2:48" x14ac:dyDescent="0.25">
      <c r="B87" s="217"/>
      <c r="C87" s="218"/>
      <c r="D87" s="218"/>
      <c r="E87" s="218"/>
      <c r="F87" s="564"/>
      <c r="H87" s="587"/>
      <c r="I87" s="220"/>
      <c r="J87" s="221"/>
      <c r="K87" s="221"/>
      <c r="L87" s="221"/>
      <c r="M87" s="572"/>
      <c r="N87" s="212"/>
      <c r="O87" s="189"/>
      <c r="P87" s="189"/>
      <c r="S87" s="174"/>
      <c r="Y87" s="162"/>
      <c r="Z87" s="162"/>
      <c r="AA87" s="162"/>
      <c r="AB87"/>
      <c r="AC87"/>
      <c r="AD87"/>
      <c r="AE87"/>
      <c r="AF87"/>
      <c r="AG87"/>
      <c r="AH87"/>
      <c r="AI87"/>
      <c r="AJ87"/>
      <c r="AK87"/>
      <c r="AL87"/>
      <c r="AM87"/>
      <c r="AN87"/>
    </row>
    <row r="88" spans="2:48" x14ac:dyDescent="0.25">
      <c r="B88" s="217"/>
      <c r="C88" s="218"/>
      <c r="D88" s="218"/>
      <c r="E88" s="218"/>
      <c r="F88" s="564"/>
      <c r="H88" s="587"/>
      <c r="I88" s="220"/>
      <c r="J88" s="221"/>
      <c r="K88" s="221"/>
      <c r="L88" s="221"/>
      <c r="M88" s="572"/>
      <c r="N88" s="212"/>
      <c r="O88" s="189"/>
      <c r="P88" s="189"/>
      <c r="S88" s="174"/>
      <c r="Y88" s="162"/>
      <c r="Z88" s="162"/>
      <c r="AA88" s="162"/>
      <c r="AB88"/>
      <c r="AC88"/>
      <c r="AD88"/>
      <c r="AE88"/>
      <c r="AF88"/>
      <c r="AG88"/>
      <c r="AH88"/>
      <c r="AI88"/>
      <c r="AJ88"/>
      <c r="AK88"/>
      <c r="AL88"/>
      <c r="AM88"/>
      <c r="AN88"/>
    </row>
    <row r="89" spans="2:48" x14ac:dyDescent="0.25">
      <c r="B89" s="568"/>
      <c r="C89" s="569"/>
      <c r="D89" s="569"/>
      <c r="E89" s="569"/>
      <c r="F89" s="569"/>
      <c r="H89" s="587"/>
      <c r="I89" s="220"/>
      <c r="J89" s="221"/>
      <c r="K89" s="221"/>
      <c r="L89" s="221"/>
      <c r="M89" s="572"/>
      <c r="N89" s="212"/>
      <c r="O89" s="189"/>
      <c r="P89" s="189"/>
      <c r="S89" s="174"/>
      <c r="Y89" s="162"/>
      <c r="Z89" s="162"/>
      <c r="AA89" s="162"/>
      <c r="AB89"/>
      <c r="AC89"/>
      <c r="AD89"/>
      <c r="AE89"/>
      <c r="AF89"/>
      <c r="AG89"/>
      <c r="AH89"/>
      <c r="AI89"/>
      <c r="AJ89"/>
      <c r="AK89"/>
      <c r="AL89"/>
      <c r="AM89"/>
      <c r="AN89"/>
    </row>
    <row r="90" spans="2:48" x14ac:dyDescent="0.25">
      <c r="B90" s="568"/>
      <c r="C90" s="569"/>
      <c r="D90" s="569"/>
      <c r="E90" s="569"/>
      <c r="F90" s="569"/>
      <c r="H90" s="587"/>
      <c r="I90" s="220"/>
      <c r="J90" s="221"/>
      <c r="K90" s="221"/>
      <c r="L90" s="221"/>
      <c r="M90" s="572"/>
      <c r="N90" s="212"/>
      <c r="O90" s="189"/>
      <c r="P90" s="189"/>
      <c r="S90" s="174"/>
      <c r="Y90" s="162"/>
      <c r="AA90" s="162"/>
      <c r="AB90"/>
      <c r="AC90"/>
      <c r="AD90"/>
      <c r="AE90"/>
      <c r="AF90"/>
      <c r="AG90"/>
      <c r="AH90"/>
      <c r="AI90"/>
      <c r="AJ90"/>
      <c r="AK90"/>
      <c r="AL90"/>
      <c r="AM90"/>
      <c r="AN90"/>
    </row>
    <row r="91" spans="2:48" x14ac:dyDescent="0.25">
      <c r="B91" s="568"/>
      <c r="C91" s="569"/>
      <c r="D91" s="569"/>
      <c r="E91" s="569"/>
      <c r="F91" s="569"/>
      <c r="H91" s="587"/>
      <c r="I91" s="220"/>
      <c r="J91" s="221"/>
      <c r="K91" s="221"/>
      <c r="L91" s="221"/>
      <c r="M91" s="572"/>
      <c r="N91" s="212"/>
      <c r="O91" s="189"/>
      <c r="P91" s="189"/>
      <c r="S91" s="174"/>
      <c r="Y91" s="162"/>
      <c r="AA91" s="162"/>
      <c r="AB91"/>
      <c r="AC91"/>
      <c r="AD91"/>
      <c r="AE91"/>
      <c r="AF91"/>
      <c r="AG91"/>
      <c r="AH91"/>
      <c r="AI91"/>
      <c r="AJ91"/>
      <c r="AK91"/>
      <c r="AL91"/>
      <c r="AM91"/>
      <c r="AN91"/>
    </row>
    <row r="92" spans="2:48" x14ac:dyDescent="0.25">
      <c r="B92" s="568"/>
      <c r="C92" s="569"/>
      <c r="D92" s="569"/>
      <c r="E92" s="569"/>
      <c r="F92" s="569"/>
      <c r="H92" s="587"/>
      <c r="I92" s="220"/>
      <c r="J92" s="221"/>
      <c r="K92" s="221"/>
      <c r="L92" s="221"/>
      <c r="M92" s="572"/>
      <c r="N92" s="212"/>
      <c r="O92" s="189"/>
      <c r="P92" s="189"/>
      <c r="S92" s="174"/>
      <c r="Y92" s="162"/>
      <c r="AA92" s="162"/>
      <c r="AB92"/>
      <c r="AC92"/>
      <c r="AD92"/>
      <c r="AE92"/>
      <c r="AF92"/>
      <c r="AG92"/>
      <c r="AH92"/>
      <c r="AI92"/>
      <c r="AJ92"/>
      <c r="AK92"/>
      <c r="AL92"/>
      <c r="AM92"/>
      <c r="AN92"/>
    </row>
    <row r="93" spans="2:48" x14ac:dyDescent="0.25">
      <c r="B93" s="568"/>
      <c r="C93" s="569"/>
      <c r="D93" s="569"/>
      <c r="E93" s="569"/>
      <c r="F93" s="569"/>
      <c r="H93" s="587"/>
      <c r="I93" s="220"/>
      <c r="J93" s="221"/>
      <c r="K93" s="221"/>
      <c r="L93" s="221"/>
      <c r="M93" s="572"/>
      <c r="N93" s="212"/>
      <c r="O93" s="189"/>
      <c r="P93" s="189"/>
      <c r="S93" s="174"/>
      <c r="Y93" s="162"/>
      <c r="AA93" s="162"/>
      <c r="AB93"/>
      <c r="AC93"/>
      <c r="AD93"/>
      <c r="AE93"/>
      <c r="AF93"/>
      <c r="AG93"/>
      <c r="AH93"/>
      <c r="AI93"/>
      <c r="AJ93"/>
      <c r="AK93"/>
      <c r="AL93"/>
      <c r="AM93"/>
      <c r="AN93"/>
    </row>
    <row r="94" spans="2:48" x14ac:dyDescent="0.25">
      <c r="B94" s="568"/>
      <c r="C94" s="569"/>
      <c r="D94" s="569"/>
      <c r="E94" s="569"/>
      <c r="F94" s="569"/>
      <c r="H94" s="587"/>
      <c r="I94" s="220"/>
      <c r="J94" s="221"/>
      <c r="K94" s="221"/>
      <c r="L94" s="221"/>
      <c r="M94" s="572"/>
      <c r="N94" s="212"/>
      <c r="O94" s="189"/>
      <c r="P94" s="189"/>
      <c r="S94" s="174"/>
      <c r="Y94" s="162"/>
      <c r="AA94" s="162"/>
      <c r="AB94"/>
      <c r="AC94"/>
      <c r="AD94"/>
      <c r="AE94"/>
      <c r="AF94"/>
      <c r="AG94"/>
      <c r="AH94"/>
      <c r="AI94"/>
      <c r="AJ94"/>
      <c r="AK94"/>
      <c r="AL94"/>
      <c r="AM94"/>
      <c r="AN94"/>
    </row>
    <row r="95" spans="2:48" x14ac:dyDescent="0.25">
      <c r="B95" s="568"/>
      <c r="C95" s="569"/>
      <c r="D95" s="569"/>
      <c r="E95" s="569"/>
      <c r="F95" s="569"/>
      <c r="H95" s="587"/>
      <c r="I95" s="220"/>
      <c r="J95" s="221"/>
      <c r="K95" s="221"/>
      <c r="L95" s="221"/>
      <c r="M95" s="572"/>
      <c r="N95" s="212"/>
      <c r="O95" s="189"/>
      <c r="P95" s="189"/>
      <c r="S95" s="174"/>
      <c r="Y95" s="162"/>
      <c r="AA95" s="162"/>
      <c r="AB95"/>
      <c r="AC95"/>
      <c r="AD95"/>
      <c r="AE95"/>
      <c r="AF95"/>
      <c r="AG95"/>
      <c r="AH95"/>
      <c r="AI95"/>
      <c r="AJ95"/>
      <c r="AK95"/>
      <c r="AL95"/>
      <c r="AM95"/>
      <c r="AN95"/>
    </row>
    <row r="96" spans="2:48" x14ac:dyDescent="0.25">
      <c r="B96" s="568"/>
      <c r="C96" s="569"/>
      <c r="D96" s="569"/>
      <c r="E96" s="569"/>
      <c r="F96" s="569"/>
      <c r="H96" s="587"/>
      <c r="I96" s="220"/>
      <c r="J96" s="221"/>
      <c r="K96" s="221"/>
      <c r="L96" s="221"/>
      <c r="M96" s="572"/>
      <c r="N96" s="212"/>
      <c r="O96" s="189"/>
      <c r="P96" s="189"/>
      <c r="S96" s="174"/>
      <c r="Y96" s="162"/>
      <c r="AA96" s="162"/>
      <c r="AB96"/>
      <c r="AC96"/>
      <c r="AD96"/>
      <c r="AE96"/>
      <c r="AF96"/>
      <c r="AG96"/>
      <c r="AH96"/>
      <c r="AI96"/>
      <c r="AJ96"/>
      <c r="AK96"/>
      <c r="AL96"/>
      <c r="AM96"/>
      <c r="AN96"/>
    </row>
    <row r="97" spans="2:40" x14ac:dyDescent="0.25">
      <c r="B97" s="568"/>
      <c r="C97" s="569"/>
      <c r="D97" s="569"/>
      <c r="E97" s="569"/>
      <c r="F97" s="569"/>
      <c r="H97" s="587"/>
      <c r="I97" s="220"/>
      <c r="J97" s="221"/>
      <c r="K97" s="221"/>
      <c r="L97" s="221"/>
      <c r="M97" s="572"/>
      <c r="N97" s="212"/>
      <c r="O97" s="189"/>
      <c r="P97" s="189"/>
      <c r="S97" s="174"/>
      <c r="Y97" s="162"/>
      <c r="AA97" s="162"/>
      <c r="AB97"/>
      <c r="AC97"/>
      <c r="AD97"/>
      <c r="AE97"/>
      <c r="AF97"/>
      <c r="AG97"/>
      <c r="AH97"/>
      <c r="AI97"/>
      <c r="AJ97"/>
      <c r="AK97"/>
      <c r="AL97"/>
      <c r="AM97"/>
      <c r="AN97"/>
    </row>
    <row r="98" spans="2:40" x14ac:dyDescent="0.25">
      <c r="B98" s="568"/>
      <c r="C98" s="569"/>
      <c r="D98" s="569"/>
      <c r="E98" s="569"/>
      <c r="F98" s="569"/>
      <c r="H98" s="587"/>
      <c r="I98" s="220"/>
      <c r="J98" s="221"/>
      <c r="K98" s="221"/>
      <c r="L98" s="221"/>
      <c r="M98" s="572"/>
      <c r="N98" s="212"/>
      <c r="O98" s="189"/>
      <c r="P98" s="399"/>
      <c r="S98" s="174"/>
      <c r="Y98" s="162"/>
      <c r="AA98" s="162"/>
      <c r="AB98"/>
      <c r="AC98"/>
      <c r="AD98"/>
      <c r="AE98"/>
      <c r="AF98"/>
      <c r="AG98"/>
      <c r="AH98"/>
      <c r="AI98"/>
      <c r="AJ98"/>
      <c r="AK98"/>
      <c r="AL98"/>
      <c r="AM98"/>
      <c r="AN98"/>
    </row>
    <row r="99" spans="2:40" x14ac:dyDescent="0.25">
      <c r="B99" s="568"/>
      <c r="C99" s="569"/>
      <c r="D99" s="569"/>
      <c r="E99" s="569"/>
      <c r="F99" s="569"/>
      <c r="H99" s="587"/>
      <c r="I99" s="220"/>
      <c r="J99" s="221"/>
      <c r="K99" s="221"/>
      <c r="L99" s="221"/>
      <c r="M99" s="572"/>
      <c r="N99" s="212"/>
      <c r="O99" s="189"/>
      <c r="P99" s="189"/>
      <c r="S99" s="174"/>
      <c r="Y99" s="162"/>
      <c r="AA99" s="162"/>
      <c r="AB99"/>
      <c r="AC99"/>
      <c r="AD99"/>
      <c r="AE99"/>
      <c r="AF99"/>
      <c r="AG99"/>
      <c r="AH99"/>
      <c r="AI99"/>
      <c r="AJ99"/>
      <c r="AK99"/>
      <c r="AL99"/>
      <c r="AM99"/>
      <c r="AN99"/>
    </row>
    <row r="100" spans="2:40" x14ac:dyDescent="0.25">
      <c r="B100" s="568"/>
      <c r="C100" s="569"/>
      <c r="D100" s="569"/>
      <c r="E100" s="569"/>
      <c r="F100" s="569"/>
      <c r="H100" s="587"/>
      <c r="I100" s="220"/>
      <c r="J100" s="221"/>
      <c r="K100" s="221"/>
      <c r="L100" s="221"/>
      <c r="M100" s="572"/>
      <c r="N100" s="212"/>
      <c r="O100" s="189"/>
      <c r="P100" s="189"/>
      <c r="S100" s="174"/>
      <c r="Y100" s="162"/>
      <c r="AA100" s="162"/>
      <c r="AB100"/>
      <c r="AC100"/>
      <c r="AD100"/>
      <c r="AE100"/>
      <c r="AF100"/>
      <c r="AG100"/>
      <c r="AH100"/>
      <c r="AI100"/>
      <c r="AJ100"/>
      <c r="AK100"/>
      <c r="AL100"/>
      <c r="AM100"/>
      <c r="AN100"/>
    </row>
    <row r="101" spans="2:40" ht="15" customHeight="1" x14ac:dyDescent="0.25">
      <c r="B101" s="563"/>
      <c r="C101" s="564"/>
      <c r="D101" s="564"/>
      <c r="E101" s="564"/>
      <c r="F101" s="564"/>
      <c r="H101" s="587"/>
      <c r="I101" s="220"/>
      <c r="J101" s="221"/>
      <c r="K101" s="221"/>
      <c r="L101" s="221"/>
      <c r="M101" s="572"/>
      <c r="N101" s="212"/>
      <c r="O101" s="189"/>
      <c r="P101" s="189"/>
      <c r="S101" s="174"/>
      <c r="Y101" s="162"/>
      <c r="AA101" s="199"/>
      <c r="AB101"/>
      <c r="AC101"/>
      <c r="AD101"/>
      <c r="AE101"/>
      <c r="AF101"/>
      <c r="AG101"/>
      <c r="AH101"/>
      <c r="AI101"/>
      <c r="AJ101"/>
      <c r="AK101"/>
      <c r="AL101"/>
      <c r="AM101"/>
      <c r="AN101"/>
    </row>
    <row r="102" spans="2:40" x14ac:dyDescent="0.25">
      <c r="B102" s="563"/>
      <c r="C102" s="564"/>
      <c r="D102" s="564"/>
      <c r="E102" s="564"/>
      <c r="F102" s="564"/>
      <c r="H102" s="587"/>
      <c r="I102" s="220"/>
      <c r="J102" s="221"/>
      <c r="K102" s="221"/>
      <c r="L102" s="221"/>
      <c r="M102" s="572"/>
      <c r="N102" s="212"/>
      <c r="O102" s="189"/>
      <c r="P102" s="500"/>
      <c r="S102" s="174"/>
      <c r="Y102" s="162"/>
      <c r="AA102" s="162"/>
      <c r="AB102"/>
      <c r="AC102"/>
      <c r="AD102"/>
      <c r="AE102"/>
      <c r="AF102"/>
      <c r="AG102"/>
      <c r="AH102"/>
      <c r="AI102"/>
      <c r="AJ102"/>
      <c r="AK102"/>
      <c r="AL102"/>
      <c r="AM102"/>
      <c r="AN102"/>
    </row>
    <row r="103" spans="2:40" x14ac:dyDescent="0.25">
      <c r="B103" s="563"/>
      <c r="C103" s="564"/>
      <c r="D103" s="564"/>
      <c r="E103" s="564"/>
      <c r="F103" s="564"/>
      <c r="H103" s="587"/>
      <c r="I103" s="220"/>
      <c r="J103" s="221"/>
      <c r="K103" s="221"/>
      <c r="L103" s="221"/>
      <c r="M103" s="572"/>
      <c r="O103" s="499"/>
      <c r="P103" s="499"/>
      <c r="S103" s="174"/>
      <c r="AA103"/>
      <c r="AB103"/>
      <c r="AC103"/>
      <c r="AD103"/>
      <c r="AE103"/>
      <c r="AF103"/>
      <c r="AG103"/>
      <c r="AH103"/>
      <c r="AI103"/>
      <c r="AJ103"/>
      <c r="AK103"/>
      <c r="AL103"/>
      <c r="AM103"/>
      <c r="AN103"/>
    </row>
    <row r="104" spans="2:40" ht="15.75" thickBot="1" x14ac:dyDescent="0.3">
      <c r="M104"/>
      <c r="O104" s="499"/>
      <c r="P104" s="499"/>
      <c r="S104" s="174"/>
      <c r="AA104"/>
      <c r="AB104"/>
      <c r="AC104"/>
      <c r="AD104"/>
      <c r="AE104"/>
      <c r="AF104"/>
      <c r="AG104"/>
      <c r="AH104"/>
      <c r="AI104"/>
      <c r="AJ104"/>
      <c r="AK104"/>
      <c r="AL104"/>
      <c r="AM104"/>
      <c r="AN104"/>
    </row>
    <row r="105" spans="2:40" ht="15.75" x14ac:dyDescent="0.25">
      <c r="G105" s="162" t="s">
        <v>634</v>
      </c>
      <c r="I105" s="589" t="e" cm="1">
        <f t="array" aca="1" ref="I105" ca="1">IF(IFERROR(INDEX(OFFSET(J61:J83,0,-1),MATCH(TRUE,($J$61:$J$83)&gt;=IF(E126&gt;100,100,E126),0)),MAX(I61:I83))&lt;E131,INDEX(H61:H83,MATCH(E131,I61:I83,0)),IFERROR(INDEX(OFFSET(J61:J83,0,-2),MATCH(TRUE,($J$61:$J$83)&gt;=IF(E126&gt;100,100,E126),0)),INDEX(OFFSET($J$61:$J$83,0,-2),MATCH(MAX($J$61:$J$83),$J$61:$J$83,0))))</f>
        <v>#N/A</v>
      </c>
      <c r="J105" s="230"/>
      <c r="K105" s="230"/>
      <c r="L105" s="231"/>
      <c r="O105" s="499"/>
      <c r="P105" s="499"/>
      <c r="Q105"/>
      <c r="S105" s="174"/>
      <c r="AA105"/>
      <c r="AB105"/>
      <c r="AC105"/>
      <c r="AD105"/>
      <c r="AE105"/>
      <c r="AF105"/>
      <c r="AG105"/>
      <c r="AH105"/>
      <c r="AI105"/>
      <c r="AJ105"/>
      <c r="AK105"/>
      <c r="AL105"/>
      <c r="AM105"/>
      <c r="AN105"/>
    </row>
    <row r="106" spans="2:40" ht="15.75" x14ac:dyDescent="0.25">
      <c r="H106" s="162" t="s">
        <v>635</v>
      </c>
      <c r="I106" s="590" t="e">
        <f ca="1">VLOOKUP(I105,H61:I83,2,FALSE)</f>
        <v>#N/A</v>
      </c>
      <c r="J106" s="233"/>
      <c r="K106" s="588"/>
      <c r="L106" s="234"/>
      <c r="O106" s="499"/>
      <c r="P106" s="499"/>
      <c r="S106" s="174"/>
      <c r="AA106"/>
      <c r="AB106"/>
      <c r="AC106"/>
      <c r="AD106"/>
      <c r="AE106"/>
      <c r="AF106"/>
      <c r="AG106"/>
      <c r="AH106"/>
      <c r="AI106"/>
      <c r="AJ106"/>
      <c r="AK106"/>
      <c r="AL106"/>
      <c r="AM106"/>
      <c r="AN106"/>
    </row>
    <row r="107" spans="2:40" ht="16.5" thickBot="1" x14ac:dyDescent="0.3">
      <c r="B107"/>
      <c r="C107"/>
      <c r="D107"/>
      <c r="E107"/>
      <c r="F107"/>
      <c r="I107" s="591" t="e">
        <f ca="1">IF(G68=J60,I106,0)</f>
        <v>#N/A</v>
      </c>
      <c r="J107" s="236"/>
      <c r="K107" s="188"/>
      <c r="L107" s="237"/>
      <c r="N107"/>
      <c r="O107" s="499"/>
      <c r="P107" s="499"/>
      <c r="S107" s="174"/>
      <c r="AA107"/>
      <c r="AB107"/>
      <c r="AC107"/>
      <c r="AD107"/>
      <c r="AE107"/>
      <c r="AF107"/>
      <c r="AG107"/>
      <c r="AH107"/>
      <c r="AI107"/>
      <c r="AJ107"/>
      <c r="AK107"/>
      <c r="AL107"/>
      <c r="AM107"/>
      <c r="AN107"/>
    </row>
    <row r="108" spans="2:40" ht="15.75" x14ac:dyDescent="0.25">
      <c r="B108" s="852" t="str">
        <f>NonQM!S55</f>
        <v>Max Price</v>
      </c>
      <c r="C108" s="853"/>
      <c r="D108" s="853"/>
      <c r="E108" s="238" t="s">
        <v>636</v>
      </c>
      <c r="F108"/>
      <c r="I108" s="590" t="e">
        <f ca="1">VLOOKUP(I105,H61:J104,3,FALSE)</f>
        <v>#N/A</v>
      </c>
      <c r="J108" s="233"/>
      <c r="K108" s="233"/>
      <c r="L108" s="239"/>
      <c r="N108"/>
      <c r="O108" s="499"/>
      <c r="P108" s="499"/>
      <c r="S108" s="174"/>
      <c r="AA108"/>
      <c r="AB108"/>
      <c r="AC108"/>
      <c r="AD108"/>
      <c r="AE108"/>
      <c r="AF108"/>
      <c r="AG108"/>
      <c r="AH108"/>
      <c r="AI108"/>
      <c r="AJ108"/>
      <c r="AK108"/>
      <c r="AL108"/>
      <c r="AM108"/>
      <c r="AN108"/>
    </row>
    <row r="109" spans="2:40" ht="16.5" thickBot="1" x14ac:dyDescent="0.3">
      <c r="B109" s="907" t="str">
        <f>CoreFlex!B48</f>
        <v>30 Year Fixed Only</v>
      </c>
      <c r="C109" s="908"/>
      <c r="D109" s="562">
        <f>CoreFlex!B46</f>
        <v>99.5</v>
      </c>
      <c r="E109" s="582">
        <f>IF(OR(CoreFlex!O23=L3),D109,"")</f>
        <v>99.5</v>
      </c>
      <c r="F109"/>
      <c r="I109" s="592" t="e">
        <f ca="1">IF(G68=J60,I108,0)</f>
        <v>#N/A</v>
      </c>
      <c r="J109" s="244"/>
      <c r="K109" s="244"/>
      <c r="L109" s="246"/>
      <c r="N109" s="212" t="e">
        <f ca="1">SUM(I107:L107)</f>
        <v>#N/A</v>
      </c>
      <c r="O109" s="499"/>
      <c r="P109" s="499"/>
      <c r="S109" s="174"/>
      <c r="AA109"/>
      <c r="AB109"/>
      <c r="AC109"/>
      <c r="AD109"/>
      <c r="AE109"/>
      <c r="AF109"/>
      <c r="AG109"/>
      <c r="AH109"/>
      <c r="AI109"/>
      <c r="AJ109"/>
      <c r="AK109"/>
      <c r="AL109"/>
      <c r="AM109"/>
      <c r="AN109"/>
    </row>
    <row r="110" spans="2:40" x14ac:dyDescent="0.25">
      <c r="B110" s="841"/>
      <c r="C110" s="842"/>
      <c r="D110" s="546"/>
      <c r="E110" s="583"/>
      <c r="F110"/>
      <c r="O110" s="189"/>
      <c r="P110" s="189"/>
      <c r="S110" s="174"/>
      <c r="AA110"/>
      <c r="AB110"/>
      <c r="AC110"/>
      <c r="AD110"/>
      <c r="AE110"/>
      <c r="AF110"/>
      <c r="AG110"/>
      <c r="AH110"/>
      <c r="AI110"/>
      <c r="AJ110"/>
      <c r="AK110"/>
      <c r="AL110"/>
      <c r="AM110"/>
      <c r="AN110"/>
    </row>
    <row r="111" spans="2:40" x14ac:dyDescent="0.25">
      <c r="B111" s="841"/>
      <c r="C111" s="842"/>
      <c r="D111" s="546"/>
      <c r="E111" s="583"/>
      <c r="F111"/>
      <c r="N111" s="212" t="e">
        <f ca="1">SUM(I109:L109)</f>
        <v>#N/A</v>
      </c>
      <c r="O111" s="189"/>
      <c r="P111" s="189"/>
      <c r="S111" s="174"/>
      <c r="AA111"/>
      <c r="AB111"/>
      <c r="AC111"/>
      <c r="AD111"/>
      <c r="AE111"/>
      <c r="AF111"/>
      <c r="AG111"/>
      <c r="AH111"/>
      <c r="AI111"/>
      <c r="AJ111"/>
      <c r="AK111"/>
      <c r="AL111"/>
      <c r="AM111"/>
      <c r="AN111"/>
    </row>
    <row r="112" spans="2:40" ht="15.75" thickBot="1" x14ac:dyDescent="0.3">
      <c r="B112" s="841"/>
      <c r="C112" s="842"/>
      <c r="D112" s="546"/>
      <c r="E112" s="583"/>
      <c r="F112"/>
      <c r="G112"/>
      <c r="H112"/>
      <c r="I112"/>
      <c r="J112"/>
      <c r="K112"/>
      <c r="L112"/>
      <c r="M112"/>
      <c r="O112" s="189"/>
      <c r="P112" s="189"/>
      <c r="S112" s="174"/>
      <c r="AA112"/>
      <c r="AB112"/>
      <c r="AC112"/>
      <c r="AD112"/>
      <c r="AE112"/>
      <c r="AF112"/>
      <c r="AG112"/>
      <c r="AH112"/>
      <c r="AI112"/>
      <c r="AJ112"/>
      <c r="AK112"/>
      <c r="AL112"/>
      <c r="AM112"/>
      <c r="AN112"/>
    </row>
    <row r="113" spans="2:37" x14ac:dyDescent="0.25">
      <c r="B113" s="841"/>
      <c r="C113" s="842"/>
      <c r="D113" s="546"/>
      <c r="E113" s="583"/>
      <c r="F113"/>
      <c r="G113"/>
      <c r="H113"/>
      <c r="I113" s="845" t="s">
        <v>637</v>
      </c>
      <c r="J113" s="846"/>
      <c r="K113" s="247" t="e">
        <f ca="1">IF(L113="","",N109)</f>
        <v>#N/A</v>
      </c>
      <c r="L113" s="248" t="e">
        <f ca="1">IF(N111&gt;E126,E126,N111)</f>
        <v>#N/A</v>
      </c>
      <c r="M113"/>
      <c r="O113" s="189"/>
      <c r="P113" s="189"/>
      <c r="S113" s="174"/>
      <c r="X113"/>
      <c r="Y113"/>
      <c r="Z113"/>
      <c r="AA113"/>
      <c r="AB113"/>
      <c r="AC113"/>
      <c r="AD113"/>
      <c r="AE113"/>
      <c r="AF113"/>
      <c r="AG113"/>
      <c r="AH113"/>
      <c r="AI113"/>
      <c r="AJ113"/>
      <c r="AK113"/>
    </row>
    <row r="114" spans="2:37" ht="15.75" thickBot="1" x14ac:dyDescent="0.3">
      <c r="B114" s="841"/>
      <c r="C114" s="842"/>
      <c r="D114" s="546"/>
      <c r="E114" s="583"/>
      <c r="F114"/>
      <c r="G114"/>
      <c r="H114"/>
      <c r="I114" s="850"/>
      <c r="J114" s="851"/>
      <c r="K114" s="249"/>
      <c r="L114" s="250"/>
      <c r="M114"/>
      <c r="O114" s="189"/>
      <c r="P114" s="189"/>
      <c r="S114" s="174"/>
      <c r="X114"/>
      <c r="Y114"/>
      <c r="Z114"/>
      <c r="AA114"/>
      <c r="AB114"/>
      <c r="AC114"/>
      <c r="AD114"/>
      <c r="AE114"/>
      <c r="AF114"/>
      <c r="AG114"/>
      <c r="AH114"/>
      <c r="AI114"/>
      <c r="AJ114"/>
      <c r="AK114"/>
    </row>
    <row r="115" spans="2:37" x14ac:dyDescent="0.25">
      <c r="B115" s="841"/>
      <c r="C115" s="842"/>
      <c r="D115" s="546"/>
      <c r="E115" s="583"/>
      <c r="F115"/>
      <c r="G115"/>
      <c r="H115"/>
      <c r="I115" s="251"/>
      <c r="J115" s="251"/>
      <c r="K115" s="252"/>
      <c r="L115" s="252"/>
      <c r="M115"/>
      <c r="O115" s="189"/>
      <c r="P115" s="189"/>
      <c r="S115" s="174"/>
      <c r="X115"/>
      <c r="Y115"/>
      <c r="Z115"/>
      <c r="AA115"/>
      <c r="AB115"/>
      <c r="AC115"/>
      <c r="AD115"/>
      <c r="AE115"/>
      <c r="AF115"/>
      <c r="AG115"/>
      <c r="AH115"/>
      <c r="AI115"/>
      <c r="AJ115"/>
      <c r="AK115"/>
    </row>
    <row r="116" spans="2:37" x14ac:dyDescent="0.25">
      <c r="B116" s="841"/>
      <c r="C116" s="842"/>
      <c r="D116" s="547"/>
      <c r="E116" s="583"/>
      <c r="F116"/>
      <c r="G116"/>
      <c r="H116"/>
      <c r="I116"/>
      <c r="J116"/>
      <c r="K116"/>
      <c r="L116"/>
      <c r="M116"/>
      <c r="O116" s="189"/>
      <c r="P116" s="189"/>
      <c r="S116" s="174"/>
      <c r="X116"/>
      <c r="Y116"/>
      <c r="Z116"/>
      <c r="AA116"/>
      <c r="AB116"/>
      <c r="AC116"/>
      <c r="AD116"/>
      <c r="AE116"/>
      <c r="AF116"/>
      <c r="AG116"/>
      <c r="AH116"/>
      <c r="AI116"/>
      <c r="AJ116"/>
      <c r="AK116"/>
    </row>
    <row r="117" spans="2:37" x14ac:dyDescent="0.25">
      <c r="B117" s="841"/>
      <c r="C117" s="842"/>
      <c r="D117" s="547"/>
      <c r="E117" s="583"/>
      <c r="F117"/>
      <c r="G117"/>
      <c r="H117"/>
      <c r="I117"/>
      <c r="J117"/>
      <c r="K117"/>
      <c r="L117"/>
      <c r="M117"/>
      <c r="O117" s="189"/>
      <c r="P117" s="189"/>
      <c r="S117" s="174"/>
      <c r="X117"/>
      <c r="Y117"/>
      <c r="Z117"/>
      <c r="AA117"/>
      <c r="AB117"/>
      <c r="AC117"/>
      <c r="AD117"/>
      <c r="AE117"/>
      <c r="AF117"/>
      <c r="AG117"/>
      <c r="AH117"/>
      <c r="AI117"/>
      <c r="AJ117"/>
      <c r="AK117"/>
    </row>
    <row r="118" spans="2:37" x14ac:dyDescent="0.25">
      <c r="B118" s="841"/>
      <c r="C118" s="842"/>
      <c r="D118" s="547"/>
      <c r="E118" s="583"/>
      <c r="F118"/>
      <c r="G118"/>
      <c r="H118"/>
      <c r="I118"/>
      <c r="J118"/>
      <c r="K118"/>
      <c r="L118"/>
      <c r="M118"/>
      <c r="O118" s="189"/>
      <c r="P118" s="189"/>
      <c r="S118" s="174"/>
      <c r="X118"/>
      <c r="Y118"/>
      <c r="Z118"/>
      <c r="AA118"/>
      <c r="AB118"/>
      <c r="AC118"/>
      <c r="AD118"/>
      <c r="AE118"/>
      <c r="AF118"/>
      <c r="AG118"/>
      <c r="AH118"/>
      <c r="AI118"/>
      <c r="AJ118"/>
      <c r="AK118"/>
    </row>
    <row r="119" spans="2:37" x14ac:dyDescent="0.25">
      <c r="B119" s="841"/>
      <c r="C119" s="842"/>
      <c r="D119" s="547"/>
      <c r="E119" s="583"/>
      <c r="F119"/>
      <c r="G119"/>
      <c r="H119"/>
      <c r="I119"/>
      <c r="J119"/>
      <c r="K119"/>
      <c r="L119"/>
      <c r="M119"/>
      <c r="O119" s="189"/>
      <c r="P119" s="189"/>
      <c r="S119" s="174"/>
    </row>
    <row r="120" spans="2:37" x14ac:dyDescent="0.25">
      <c r="B120" s="841"/>
      <c r="C120" s="842"/>
      <c r="D120" s="547"/>
      <c r="E120" s="583"/>
      <c r="F120"/>
      <c r="G120"/>
      <c r="H120"/>
      <c r="I120"/>
      <c r="J120"/>
      <c r="K120"/>
      <c r="L120"/>
      <c r="M120"/>
      <c r="O120" s="189"/>
      <c r="P120" s="189"/>
      <c r="S120" s="174"/>
    </row>
    <row r="121" spans="2:37" x14ac:dyDescent="0.25">
      <c r="B121" s="841"/>
      <c r="C121" s="842"/>
      <c r="D121" s="547"/>
      <c r="E121" s="584"/>
      <c r="F121"/>
      <c r="G121"/>
      <c r="H121"/>
      <c r="I121"/>
      <c r="J121"/>
      <c r="K121"/>
      <c r="L121"/>
      <c r="M121"/>
      <c r="O121" s="189"/>
      <c r="P121" s="189"/>
      <c r="S121" s="174"/>
    </row>
    <row r="122" spans="2:37" x14ac:dyDescent="0.25">
      <c r="B122" s="841"/>
      <c r="C122" s="842"/>
      <c r="D122" s="547"/>
      <c r="E122" s="584"/>
      <c r="F122"/>
      <c r="G122"/>
      <c r="H122"/>
      <c r="I122"/>
      <c r="J122"/>
      <c r="K122"/>
      <c r="L122"/>
      <c r="M122"/>
      <c r="O122" s="189"/>
      <c r="P122" s="189"/>
      <c r="S122" s="174"/>
    </row>
    <row r="123" spans="2:37" x14ac:dyDescent="0.25">
      <c r="B123" s="841"/>
      <c r="C123" s="842"/>
      <c r="D123" s="547"/>
      <c r="E123" s="583"/>
      <c r="F123"/>
      <c r="G123"/>
      <c r="H123"/>
      <c r="I123"/>
      <c r="J123"/>
      <c r="K123"/>
      <c r="L123"/>
      <c r="M123"/>
      <c r="O123" s="189"/>
      <c r="P123" s="189"/>
      <c r="S123" s="174"/>
    </row>
    <row r="124" spans="2:37" x14ac:dyDescent="0.25">
      <c r="B124" s="240"/>
      <c r="C124" s="241"/>
      <c r="D124" s="547"/>
      <c r="E124" s="583"/>
      <c r="F124"/>
      <c r="G124"/>
      <c r="H124"/>
      <c r="I124"/>
      <c r="J124"/>
      <c r="K124"/>
      <c r="L124"/>
      <c r="M124"/>
      <c r="O124" s="189"/>
      <c r="P124" s="189"/>
      <c r="S124" s="174"/>
    </row>
    <row r="125" spans="2:37" ht="15.75" thickBot="1" x14ac:dyDescent="0.3">
      <c r="B125" s="509"/>
      <c r="C125" s="510"/>
      <c r="D125" s="548"/>
      <c r="E125" s="585"/>
      <c r="F125"/>
      <c r="G125"/>
      <c r="H125"/>
      <c r="I125"/>
      <c r="J125"/>
      <c r="K125"/>
      <c r="L125"/>
      <c r="M125"/>
      <c r="O125" s="189"/>
      <c r="P125" s="189"/>
      <c r="S125" s="174"/>
    </row>
    <row r="126" spans="2:37" ht="15.75" thickBot="1" x14ac:dyDescent="0.3">
      <c r="D126" s="172" t="s">
        <v>639</v>
      </c>
      <c r="E126" s="549">
        <f>IF(E125&lt;&gt;"",E125,IF(E123&lt;&gt;"",E123,MIN(E109:E122)))</f>
        <v>99.5</v>
      </c>
      <c r="F126"/>
      <c r="G126"/>
      <c r="H126"/>
      <c r="I126"/>
      <c r="J126"/>
      <c r="K126"/>
      <c r="L126"/>
      <c r="M126"/>
      <c r="O126" s="189"/>
      <c r="P126" s="189"/>
      <c r="S126" s="174"/>
    </row>
    <row r="127" spans="2:37" ht="15.75" thickBot="1" x14ac:dyDescent="0.3">
      <c r="F127"/>
      <c r="G127"/>
      <c r="H127"/>
      <c r="I127"/>
      <c r="J127"/>
      <c r="K127"/>
      <c r="L127"/>
      <c r="M127"/>
      <c r="O127" s="189"/>
      <c r="P127" s="189"/>
      <c r="S127" s="174"/>
    </row>
    <row r="128" spans="2:37" ht="15.75" thickBot="1" x14ac:dyDescent="0.3">
      <c r="B128" s="550" t="s">
        <v>140</v>
      </c>
      <c r="C128" s="551"/>
      <c r="D128" s="552"/>
      <c r="E128" s="553" t="s">
        <v>636</v>
      </c>
      <c r="F128"/>
      <c r="G128"/>
      <c r="H128"/>
      <c r="I128"/>
      <c r="J128"/>
      <c r="K128"/>
      <c r="L128"/>
      <c r="M128"/>
      <c r="O128" s="189"/>
      <c r="P128" s="189"/>
      <c r="S128" s="174"/>
    </row>
    <row r="129" spans="2:23" x14ac:dyDescent="0.25">
      <c r="B129" s="554"/>
      <c r="C129" s="555"/>
      <c r="D129" s="556"/>
      <c r="E129" s="560"/>
      <c r="F129"/>
      <c r="G129"/>
      <c r="H129"/>
      <c r="I129"/>
      <c r="J129"/>
      <c r="K129"/>
      <c r="L129"/>
      <c r="M129"/>
      <c r="O129" s="189"/>
      <c r="P129" s="189"/>
      <c r="S129" s="174"/>
    </row>
    <row r="130" spans="2:23" ht="15.75" thickBot="1" x14ac:dyDescent="0.3">
      <c r="B130" s="557"/>
      <c r="C130" s="558"/>
      <c r="D130" s="559"/>
      <c r="E130" s="561"/>
      <c r="F130"/>
      <c r="G130"/>
      <c r="H130"/>
      <c r="I130"/>
      <c r="J130"/>
      <c r="K130"/>
      <c r="L130"/>
      <c r="M130"/>
      <c r="O130" s="189"/>
      <c r="P130" s="189"/>
      <c r="S130" s="174"/>
    </row>
    <row r="131" spans="2:23" ht="15.75" thickBot="1" x14ac:dyDescent="0.3">
      <c r="D131" s="172" t="s">
        <v>639</v>
      </c>
      <c r="E131" s="549">
        <f>MIN(E129:E130)</f>
        <v>0</v>
      </c>
      <c r="F131"/>
      <c r="G131"/>
      <c r="H131"/>
      <c r="I131"/>
      <c r="J131"/>
      <c r="K131"/>
      <c r="L131"/>
      <c r="M131"/>
      <c r="O131" s="189"/>
      <c r="P131" s="189"/>
      <c r="S131" s="174"/>
    </row>
    <row r="132" spans="2:23" x14ac:dyDescent="0.25">
      <c r="F132"/>
      <c r="G132"/>
      <c r="H132"/>
      <c r="I132"/>
      <c r="J132"/>
      <c r="K132"/>
      <c r="L132"/>
      <c r="M132"/>
      <c r="O132" s="189"/>
      <c r="P132" s="189"/>
      <c r="S132" s="174"/>
    </row>
    <row r="138" spans="2:23" ht="15.75" thickBot="1" x14ac:dyDescent="0.3"/>
    <row r="139" spans="2:23" ht="15.75" thickBot="1" x14ac:dyDescent="0.3">
      <c r="B139" s="573" t="s">
        <v>767</v>
      </c>
      <c r="C139" s="174"/>
      <c r="D139" s="174"/>
      <c r="E139" s="174"/>
    </row>
    <row r="140" spans="2:23" ht="35.25" customHeight="1" x14ac:dyDescent="0.25">
      <c r="B140" s="573" t="s">
        <v>32</v>
      </c>
      <c r="C140" s="573" t="s">
        <v>767</v>
      </c>
      <c r="D140" s="550"/>
      <c r="E140" s="550"/>
    </row>
    <row r="141" spans="2:23" ht="40.5" x14ac:dyDescent="0.25">
      <c r="B141" s="541" t="s">
        <v>768</v>
      </c>
      <c r="C141" s="541" t="s">
        <v>768</v>
      </c>
      <c r="D141" s="476" t="s">
        <v>779</v>
      </c>
      <c r="E141" s="544">
        <v>0</v>
      </c>
    </row>
    <row r="142" spans="2:23" ht="40.5" x14ac:dyDescent="0.25">
      <c r="B142" s="541" t="s">
        <v>769</v>
      </c>
      <c r="C142" s="541" t="s">
        <v>769</v>
      </c>
      <c r="D142" s="476" t="s">
        <v>780</v>
      </c>
      <c r="E142" s="544">
        <v>0.15</v>
      </c>
    </row>
    <row r="143" spans="2:23" ht="40.5" x14ac:dyDescent="0.25">
      <c r="B143" s="541" t="s">
        <v>770</v>
      </c>
      <c r="C143" s="541" t="s">
        <v>770</v>
      </c>
      <c r="D143" s="476" t="s">
        <v>781</v>
      </c>
      <c r="E143" s="544">
        <v>0.25</v>
      </c>
      <c r="U143"/>
      <c r="V143"/>
      <c r="W143"/>
    </row>
    <row r="144" spans="2:23" x14ac:dyDescent="0.25">
      <c r="U144"/>
      <c r="V144"/>
      <c r="W144"/>
    </row>
    <row r="145" spans="21:23" x14ac:dyDescent="0.25">
      <c r="U145"/>
      <c r="V145"/>
      <c r="W145"/>
    </row>
  </sheetData>
  <sheetProtection selectLockedCells="1"/>
  <mergeCells count="20">
    <mergeCell ref="B122:C122"/>
    <mergeCell ref="B123:C123"/>
    <mergeCell ref="B116:C116"/>
    <mergeCell ref="B117:C117"/>
    <mergeCell ref="B118:C118"/>
    <mergeCell ref="B119:C119"/>
    <mergeCell ref="B120:C120"/>
    <mergeCell ref="B121:C121"/>
    <mergeCell ref="B115:C115"/>
    <mergeCell ref="B59:E59"/>
    <mergeCell ref="I59:L59"/>
    <mergeCell ref="B108:D108"/>
    <mergeCell ref="B109:C109"/>
    <mergeCell ref="B110:C110"/>
    <mergeCell ref="B111:C111"/>
    <mergeCell ref="B112:C112"/>
    <mergeCell ref="B113:C113"/>
    <mergeCell ref="I113:J113"/>
    <mergeCell ref="B114:C114"/>
    <mergeCell ref="I114:J114"/>
  </mergeCells>
  <conditionalFormatting sqref="AO35">
    <cfRule type="expression" priority="6">
      <formula>#REF!</formula>
    </cfRule>
  </conditionalFormatting>
  <pageMargins left="0.7" right="0.7" top="0.75" bottom="0.75" header="0.3" footer="0.3"/>
  <pageSetup orientation="portrait" horizontalDpi="1200" verticalDpi="120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1FFD83-54E4-4B0A-BC46-305A77C9DE6B}">
  <sheetPr codeName="Sheet8">
    <tabColor theme="8"/>
    <pageSetUpPr fitToPage="1"/>
  </sheetPr>
  <dimension ref="A1:AH233"/>
  <sheetViews>
    <sheetView showGridLines="0" zoomScaleNormal="100" workbookViewId="0">
      <selection activeCell="F23" sqref="F23:G23"/>
    </sheetView>
  </sheetViews>
  <sheetFormatPr defaultColWidth="9.140625" defaultRowHeight="15" x14ac:dyDescent="0.25"/>
  <cols>
    <col min="1" max="1" width="2.7109375" style="1" customWidth="1"/>
    <col min="2" max="2" width="17.85546875" style="1" customWidth="1"/>
    <col min="3" max="3" width="16.85546875" style="1" customWidth="1"/>
    <col min="4" max="4" width="2.140625" style="1" customWidth="1"/>
    <col min="5" max="5" width="1.7109375" style="1" customWidth="1"/>
    <col min="6" max="7" width="17.140625" style="1" customWidth="1"/>
    <col min="8" max="8" width="9.5703125" style="1" customWidth="1"/>
    <col min="9" max="10" width="8.85546875" style="1" customWidth="1"/>
    <col min="11" max="11" width="9.85546875" style="1" customWidth="1"/>
    <col min="12" max="12" width="10.42578125" style="1" customWidth="1"/>
    <col min="13" max="13" width="9.28515625" style="1" customWidth="1"/>
    <col min="14" max="14" width="9.140625" style="1"/>
    <col min="15" max="16" width="9.28515625" style="1" customWidth="1"/>
    <col min="17" max="17" width="1.28515625" style="1" customWidth="1"/>
    <col min="18" max="18" width="1.42578125" style="1" customWidth="1"/>
    <col min="19" max="19" width="19.85546875" style="1" customWidth="1"/>
    <col min="20" max="20" width="13.5703125" style="1" customWidth="1"/>
    <col min="21" max="21" width="20.28515625" style="1" customWidth="1"/>
    <col min="22" max="22" width="25.28515625" style="1" customWidth="1"/>
    <col min="23" max="23" width="3.140625" style="1" customWidth="1"/>
    <col min="24" max="24" width="9.140625" style="1"/>
    <col min="25" max="25" width="9.42578125" style="1" customWidth="1"/>
    <col min="26" max="26" width="17.140625" style="1" customWidth="1"/>
    <col min="27" max="16384" width="9.140625" style="1"/>
  </cols>
  <sheetData>
    <row r="1" spans="1:25" ht="17.45" customHeight="1" x14ac:dyDescent="0.25">
      <c r="N1" s="654" t="s">
        <v>646</v>
      </c>
      <c r="O1" s="654"/>
      <c r="P1" s="654"/>
      <c r="Q1" s="2"/>
      <c r="R1" s="655"/>
      <c r="S1" s="655"/>
      <c r="T1" s="2"/>
      <c r="U1" s="2"/>
      <c r="V1" s="3"/>
    </row>
    <row r="2" spans="1:25" ht="17.45" customHeight="1" x14ac:dyDescent="0.25">
      <c r="N2" s="656" t="s">
        <v>1</v>
      </c>
      <c r="O2" s="656"/>
      <c r="P2" s="656"/>
      <c r="Q2" s="4"/>
      <c r="R2" s="657"/>
      <c r="S2" s="657"/>
      <c r="T2" s="2"/>
      <c r="U2" s="2"/>
      <c r="V2" s="3"/>
    </row>
    <row r="3" spans="1:25" ht="17.45" customHeight="1" x14ac:dyDescent="0.25">
      <c r="N3" s="656" t="s">
        <v>2</v>
      </c>
      <c r="O3" s="656"/>
      <c r="P3" s="656"/>
      <c r="Q3" s="4"/>
      <c r="R3" s="657"/>
      <c r="S3" s="657"/>
      <c r="T3" s="4"/>
      <c r="U3" s="4"/>
    </row>
    <row r="4" spans="1:25" ht="17.45" customHeight="1" x14ac:dyDescent="0.25">
      <c r="F4" s="5"/>
      <c r="M4" s="6"/>
      <c r="N4" s="7"/>
      <c r="O4" s="7"/>
      <c r="P4" s="7"/>
      <c r="Q4" s="8"/>
      <c r="R4" s="4"/>
      <c r="S4" s="4"/>
      <c r="T4" s="4"/>
      <c r="U4" s="4"/>
    </row>
    <row r="5" spans="1:25" ht="17.45" customHeight="1" thickBot="1" x14ac:dyDescent="0.3">
      <c r="L5" s="9"/>
      <c r="M5" s="665" t="s">
        <v>3</v>
      </c>
      <c r="N5" s="665"/>
      <c r="O5" s="666">
        <v>45869</v>
      </c>
      <c r="P5" s="666"/>
      <c r="Q5" s="8"/>
      <c r="T5" s="3"/>
      <c r="U5" s="3"/>
    </row>
    <row r="6" spans="1:25" ht="17.45" customHeight="1" x14ac:dyDescent="0.25">
      <c r="A6" s="275"/>
      <c r="B6" s="974" t="s">
        <v>4</v>
      </c>
      <c r="C6" s="975"/>
      <c r="D6" s="277"/>
      <c r="E6" s="278"/>
      <c r="F6" s="978" t="s">
        <v>647</v>
      </c>
      <c r="G6" s="979"/>
      <c r="H6" s="979"/>
      <c r="I6" s="979"/>
      <c r="J6" s="979"/>
      <c r="K6" s="979"/>
      <c r="L6" s="979"/>
      <c r="M6" s="979"/>
      <c r="N6" s="979"/>
      <c r="O6" s="979"/>
      <c r="P6" s="980"/>
      <c r="Q6" s="277"/>
      <c r="R6" s="276"/>
      <c r="S6" s="978" t="s">
        <v>6</v>
      </c>
      <c r="T6" s="979"/>
      <c r="U6" s="979"/>
      <c r="V6" s="980"/>
      <c r="W6" s="276"/>
    </row>
    <row r="7" spans="1:25" ht="17.45" customHeight="1" thickBot="1" x14ac:dyDescent="0.3">
      <c r="A7" s="275"/>
      <c r="B7" s="976"/>
      <c r="C7" s="977"/>
      <c r="D7" s="277"/>
      <c r="E7" s="278"/>
      <c r="F7" s="981"/>
      <c r="G7" s="982"/>
      <c r="H7" s="982"/>
      <c r="I7" s="982"/>
      <c r="J7" s="982"/>
      <c r="K7" s="982"/>
      <c r="L7" s="982"/>
      <c r="M7" s="982"/>
      <c r="N7" s="982"/>
      <c r="O7" s="982"/>
      <c r="P7" s="983"/>
      <c r="Q7" s="277"/>
      <c r="R7" s="276"/>
      <c r="S7" s="984"/>
      <c r="T7" s="985"/>
      <c r="U7" s="985"/>
      <c r="V7" s="986"/>
      <c r="W7" s="276"/>
    </row>
    <row r="8" spans="1:25" ht="15.75" customHeight="1" x14ac:dyDescent="0.25">
      <c r="A8" s="275"/>
      <c r="B8" s="305"/>
      <c r="C8" s="306"/>
      <c r="D8" s="276"/>
      <c r="E8" s="276"/>
      <c r="F8" s="305"/>
      <c r="G8" s="307"/>
      <c r="H8" s="307"/>
      <c r="I8" s="307"/>
      <c r="J8" s="307"/>
      <c r="K8" s="307"/>
      <c r="L8" s="307"/>
      <c r="M8" s="307"/>
      <c r="N8" s="307"/>
      <c r="O8" s="307"/>
      <c r="P8" s="306"/>
      <c r="Q8" s="276"/>
      <c r="R8" s="276"/>
      <c r="S8" s="305"/>
      <c r="T8" s="307"/>
      <c r="U8" s="307"/>
      <c r="V8" s="306"/>
      <c r="W8" s="275"/>
    </row>
    <row r="9" spans="1:25" ht="15.75" x14ac:dyDescent="0.25">
      <c r="A9" s="275"/>
      <c r="B9" s="987" t="s">
        <v>7</v>
      </c>
      <c r="C9" s="988"/>
      <c r="D9" s="279"/>
      <c r="E9" s="276"/>
      <c r="F9" s="989" t="s">
        <v>8</v>
      </c>
      <c r="G9" s="990"/>
      <c r="H9" s="990"/>
      <c r="I9" s="990"/>
      <c r="J9" s="990"/>
      <c r="K9" s="990"/>
      <c r="L9" s="990"/>
      <c r="M9" s="990"/>
      <c r="N9" s="990"/>
      <c r="O9" s="990"/>
      <c r="P9" s="991"/>
      <c r="Q9" s="296"/>
      <c r="R9" s="276"/>
      <c r="S9" s="308"/>
      <c r="T9" s="309"/>
      <c r="U9" s="310" t="s">
        <v>9</v>
      </c>
      <c r="V9" s="311"/>
      <c r="W9" s="276"/>
    </row>
    <row r="10" spans="1:25" ht="15.75" customHeight="1" x14ac:dyDescent="0.25">
      <c r="A10" s="275"/>
      <c r="B10" s="312" t="s">
        <v>10</v>
      </c>
      <c r="C10" s="314" t="s">
        <v>11</v>
      </c>
      <c r="D10" s="275"/>
      <c r="E10" s="276"/>
      <c r="F10" s="925" t="s">
        <v>12</v>
      </c>
      <c r="G10" s="926"/>
      <c r="H10" s="313" t="s">
        <v>13</v>
      </c>
      <c r="I10" s="313" t="s">
        <v>14</v>
      </c>
      <c r="J10" s="313" t="s">
        <v>15</v>
      </c>
      <c r="K10" s="313" t="s">
        <v>16</v>
      </c>
      <c r="L10" s="313" t="s">
        <v>17</v>
      </c>
      <c r="M10" s="313" t="s">
        <v>18</v>
      </c>
      <c r="N10" s="313" t="s">
        <v>19</v>
      </c>
      <c r="O10" s="313" t="s">
        <v>20</v>
      </c>
      <c r="P10" s="314" t="s">
        <v>21</v>
      </c>
      <c r="Q10" s="297"/>
      <c r="R10" s="276"/>
      <c r="S10" s="919" t="s">
        <v>22</v>
      </c>
      <c r="T10" s="920"/>
      <c r="U10" s="27" t="s">
        <v>32</v>
      </c>
      <c r="V10" s="272"/>
      <c r="W10" s="276"/>
    </row>
    <row r="11" spans="1:25" ht="14.25" customHeight="1" x14ac:dyDescent="0.25">
      <c r="A11" s="275"/>
      <c r="B11" s="315">
        <v>6.25</v>
      </c>
      <c r="C11" s="436">
        <v>98.688000000000002</v>
      </c>
      <c r="D11" s="280"/>
      <c r="E11" s="276"/>
      <c r="F11" s="917" t="s">
        <v>23</v>
      </c>
      <c r="G11" s="918">
        <v>0</v>
      </c>
      <c r="H11" s="29">
        <v>0.625</v>
      </c>
      <c r="I11" s="29">
        <v>0.5</v>
      </c>
      <c r="J11" s="29">
        <v>0.5</v>
      </c>
      <c r="K11" s="29">
        <v>0.5</v>
      </c>
      <c r="L11" s="29">
        <v>0.375</v>
      </c>
      <c r="M11" s="29">
        <v>0.125</v>
      </c>
      <c r="N11" s="29">
        <v>-0.125</v>
      </c>
      <c r="O11" s="29">
        <v>-1.75</v>
      </c>
      <c r="P11" s="30">
        <v>-3.25</v>
      </c>
      <c r="Q11" s="298"/>
      <c r="R11" s="276"/>
      <c r="S11" s="909" t="s">
        <v>24</v>
      </c>
      <c r="T11" s="910"/>
      <c r="U11" s="32" t="s">
        <v>32</v>
      </c>
      <c r="V11" s="272"/>
      <c r="W11" s="276"/>
      <c r="X11" s="33"/>
      <c r="Y11" s="33"/>
    </row>
    <row r="12" spans="1:25" x14ac:dyDescent="0.25">
      <c r="A12" s="275"/>
      <c r="B12" s="315">
        <v>6.375</v>
      </c>
      <c r="C12" s="436">
        <v>99.188000000000002</v>
      </c>
      <c r="D12" s="280"/>
      <c r="E12" s="276"/>
      <c r="F12" s="917" t="s">
        <v>25</v>
      </c>
      <c r="G12" s="918">
        <v>0</v>
      </c>
      <c r="H12" s="35">
        <v>0.5</v>
      </c>
      <c r="I12" s="35">
        <v>0.5</v>
      </c>
      <c r="J12" s="29">
        <v>0.5</v>
      </c>
      <c r="K12" s="35">
        <v>0.375</v>
      </c>
      <c r="L12" s="35">
        <v>0.25</v>
      </c>
      <c r="M12" s="35">
        <v>0</v>
      </c>
      <c r="N12" s="35">
        <v>-0.375</v>
      </c>
      <c r="O12" s="35">
        <v>-2</v>
      </c>
      <c r="P12" s="36">
        <v>-3.5</v>
      </c>
      <c r="Q12" s="298"/>
      <c r="R12" s="276"/>
      <c r="S12" s="909" t="s">
        <v>26</v>
      </c>
      <c r="T12" s="910"/>
      <c r="U12" s="32" t="s">
        <v>32</v>
      </c>
      <c r="V12" s="272" t="b">
        <f>IF(ISNUMBER(MATCH($U$11,'Feed(WS)'!$B$3:$B$11,0)),
   INDEX($H$11:$P$20,MATCH($U$12,$F$11:$F$20,0),MATCH($U$11,$H$10:$P$10,0)))</f>
        <v>0</v>
      </c>
      <c r="W12" s="276"/>
      <c r="X12" s="33"/>
      <c r="Y12" s="33"/>
    </row>
    <row r="13" spans="1:25" ht="15.75" customHeight="1" x14ac:dyDescent="0.25">
      <c r="A13" s="275"/>
      <c r="B13" s="266">
        <v>6.4989999999999997</v>
      </c>
      <c r="C13" s="37">
        <v>99.625</v>
      </c>
      <c r="D13" s="281"/>
      <c r="E13" s="276"/>
      <c r="F13" s="917" t="s">
        <v>27</v>
      </c>
      <c r="G13" s="918">
        <v>0</v>
      </c>
      <c r="H13" s="35">
        <v>0.5</v>
      </c>
      <c r="I13" s="35">
        <v>0.375</v>
      </c>
      <c r="J13" s="29">
        <v>0.375</v>
      </c>
      <c r="K13" s="35">
        <v>0.25</v>
      </c>
      <c r="L13" s="35">
        <v>0</v>
      </c>
      <c r="M13" s="35">
        <v>-0.375</v>
      </c>
      <c r="N13" s="35">
        <v>-0.5</v>
      </c>
      <c r="O13" s="35">
        <v>-2.25</v>
      </c>
      <c r="P13" s="36">
        <v>-3.75</v>
      </c>
      <c r="Q13" s="298"/>
      <c r="R13" s="276"/>
      <c r="S13" s="909" t="s">
        <v>28</v>
      </c>
      <c r="T13" s="910"/>
      <c r="U13" s="32" t="s">
        <v>29</v>
      </c>
      <c r="V13" s="272" t="e">
        <f>IF(OR($U$11="", $U$13=""), "",
   INDEX($H$23:$P$24,
         MATCH($U$13,$F$23:$F$24,0),
         MATCH($U$11,$H$10:$P$10,0)))</f>
        <v>#N/A</v>
      </c>
      <c r="W13" s="276"/>
      <c r="X13" s="33"/>
      <c r="Y13" s="33"/>
    </row>
    <row r="14" spans="1:25" ht="15.75" customHeight="1" x14ac:dyDescent="0.25">
      <c r="A14" s="275"/>
      <c r="B14" s="266">
        <v>6.625</v>
      </c>
      <c r="C14" s="37">
        <v>100.023</v>
      </c>
      <c r="D14" s="281"/>
      <c r="E14" s="276"/>
      <c r="F14" s="917" t="s">
        <v>30</v>
      </c>
      <c r="G14" s="918">
        <v>0</v>
      </c>
      <c r="H14" s="35">
        <v>0.375</v>
      </c>
      <c r="I14" s="35">
        <v>0.25</v>
      </c>
      <c r="J14" s="29">
        <v>0.25</v>
      </c>
      <c r="K14" s="35">
        <v>0</v>
      </c>
      <c r="L14" s="35">
        <v>-0.375</v>
      </c>
      <c r="M14" s="35">
        <v>-0.5</v>
      </c>
      <c r="N14" s="35">
        <v>-1</v>
      </c>
      <c r="O14" s="35">
        <v>-2.75</v>
      </c>
      <c r="P14" s="36">
        <v>-4.25</v>
      </c>
      <c r="Q14" s="298"/>
      <c r="R14" s="276"/>
      <c r="S14" s="909" t="s">
        <v>31</v>
      </c>
      <c r="T14" s="910"/>
      <c r="U14" s="32" t="s">
        <v>32</v>
      </c>
      <c r="V14" s="272">
        <f>'Feed(WS)'!$O$168</f>
        <v>0</v>
      </c>
      <c r="W14" s="276"/>
      <c r="X14" s="33"/>
      <c r="Y14" s="33"/>
    </row>
    <row r="15" spans="1:25" x14ac:dyDescent="0.25">
      <c r="A15" s="275"/>
      <c r="B15" s="266">
        <v>6.75</v>
      </c>
      <c r="C15" s="37">
        <v>100.414</v>
      </c>
      <c r="D15" s="281"/>
      <c r="E15" s="276"/>
      <c r="F15" s="917" t="s">
        <v>33</v>
      </c>
      <c r="G15" s="918">
        <v>0</v>
      </c>
      <c r="H15" s="35">
        <v>0.25</v>
      </c>
      <c r="I15" s="35">
        <v>0</v>
      </c>
      <c r="J15" s="29">
        <v>0</v>
      </c>
      <c r="K15" s="35">
        <v>-0.375</v>
      </c>
      <c r="L15" s="35">
        <v>-0.5</v>
      </c>
      <c r="M15" s="35">
        <v>-1</v>
      </c>
      <c r="N15" s="35">
        <v>-1.5</v>
      </c>
      <c r="O15" s="35">
        <v>-3.5</v>
      </c>
      <c r="P15" s="36">
        <v>-5</v>
      </c>
      <c r="Q15" s="298"/>
      <c r="R15" s="276"/>
      <c r="S15" s="909" t="s">
        <v>34</v>
      </c>
      <c r="T15" s="910"/>
      <c r="U15" s="32" t="s">
        <v>35</v>
      </c>
      <c r="V15" s="272" t="e">
        <f>IF(OR($U$11="", $U$15=""), "",
   INDEX($H$76:$P$80,
         MATCH($U$15,$F$76:$F$80,0),
         MATCH($U$11,$H$10:$P$10,0)))</f>
        <v>#N/A</v>
      </c>
      <c r="W15" s="276"/>
      <c r="X15" s="33"/>
      <c r="Y15" s="33"/>
    </row>
    <row r="16" spans="1:25" ht="14.25" customHeight="1" x14ac:dyDescent="0.25">
      <c r="A16" s="275"/>
      <c r="B16" s="266">
        <v>6.875</v>
      </c>
      <c r="C16" s="37">
        <v>100.797</v>
      </c>
      <c r="D16" s="281"/>
      <c r="E16" s="276"/>
      <c r="F16" s="917" t="s">
        <v>36</v>
      </c>
      <c r="G16" s="918">
        <v>0</v>
      </c>
      <c r="H16" s="35">
        <v>0</v>
      </c>
      <c r="I16" s="35">
        <v>-0.375</v>
      </c>
      <c r="J16" s="29">
        <v>-0.375</v>
      </c>
      <c r="K16" s="35">
        <v>-0.5</v>
      </c>
      <c r="L16" s="35">
        <v>-1</v>
      </c>
      <c r="M16" s="35">
        <v>-1.5</v>
      </c>
      <c r="N16" s="35">
        <v>-2.5</v>
      </c>
      <c r="O16" s="35">
        <v>-4.5</v>
      </c>
      <c r="P16" s="268" t="s">
        <v>643</v>
      </c>
      <c r="Q16" s="298"/>
      <c r="R16" s="276"/>
      <c r="S16" s="909" t="s">
        <v>37</v>
      </c>
      <c r="T16" s="910"/>
      <c r="U16" s="32" t="s">
        <v>38</v>
      </c>
      <c r="V16" s="272">
        <f>IF(OR($U$11="", $U$16="", $U$16="NONE"),0,
   INDEX($H$82:$P$85,
         MATCH($U$16,$F$82:$F$85,0),
         MATCH($U$11,$H$10:$P$10,0)))</f>
        <v>0</v>
      </c>
      <c r="W16" s="276"/>
      <c r="X16" s="33"/>
      <c r="Y16" s="33"/>
    </row>
    <row r="17" spans="1:25" x14ac:dyDescent="0.25">
      <c r="A17" s="275"/>
      <c r="B17" s="266">
        <v>6.9989999999999997</v>
      </c>
      <c r="C17" s="37">
        <v>101.172</v>
      </c>
      <c r="D17" s="281"/>
      <c r="E17" s="276"/>
      <c r="F17" s="917" t="s">
        <v>39</v>
      </c>
      <c r="G17" s="918">
        <v>0</v>
      </c>
      <c r="H17" s="35">
        <v>-0.5</v>
      </c>
      <c r="I17" s="35">
        <v>-0.5</v>
      </c>
      <c r="J17" s="29">
        <v>-0.5</v>
      </c>
      <c r="K17" s="35">
        <v>-1</v>
      </c>
      <c r="L17" s="35">
        <v>-1.5</v>
      </c>
      <c r="M17" s="35">
        <v>-2.25</v>
      </c>
      <c r="N17" s="35">
        <v>-3.25</v>
      </c>
      <c r="O17" s="269" t="s">
        <v>643</v>
      </c>
      <c r="P17" s="268" t="s">
        <v>643</v>
      </c>
      <c r="Q17" s="298"/>
      <c r="R17" s="276"/>
      <c r="S17" s="909" t="s">
        <v>40</v>
      </c>
      <c r="T17" s="910"/>
      <c r="U17" s="32" t="s">
        <v>32</v>
      </c>
      <c r="V17" s="272">
        <v>0</v>
      </c>
      <c r="W17" s="276"/>
      <c r="X17" s="33"/>
      <c r="Y17" s="33"/>
    </row>
    <row r="18" spans="1:25" x14ac:dyDescent="0.25">
      <c r="A18" s="275"/>
      <c r="B18" s="266">
        <v>7.125</v>
      </c>
      <c r="C18" s="37">
        <v>101.539</v>
      </c>
      <c r="D18" s="281"/>
      <c r="E18" s="276"/>
      <c r="F18" s="917" t="s">
        <v>41</v>
      </c>
      <c r="G18" s="918">
        <v>0</v>
      </c>
      <c r="H18" s="35">
        <v>-1</v>
      </c>
      <c r="I18" s="35">
        <v>-1.25</v>
      </c>
      <c r="J18" s="29">
        <v>-1.25</v>
      </c>
      <c r="K18" s="35">
        <v>-1.75</v>
      </c>
      <c r="L18" s="35">
        <v>-2.25</v>
      </c>
      <c r="M18" s="35">
        <v>-3.25</v>
      </c>
      <c r="N18" s="35">
        <v>-4.25</v>
      </c>
      <c r="O18" s="269" t="s">
        <v>643</v>
      </c>
      <c r="P18" s="268" t="s">
        <v>643</v>
      </c>
      <c r="Q18" s="298"/>
      <c r="R18" s="276"/>
      <c r="S18" s="909" t="s">
        <v>42</v>
      </c>
      <c r="T18" s="910"/>
      <c r="U18" s="32" t="s">
        <v>32</v>
      </c>
      <c r="V18" s="272" t="e">
        <f>IF(OR($U$11="", $U$18="", $U$18="None in this Dropdown"),0,
   INDEX($H$26:$P$30,
         MATCH($U$18,$F$26:$F$30,0),
         MATCH($U$11,$H$10:$P$10,0)))</f>
        <v>#N/A</v>
      </c>
      <c r="W18" s="276"/>
      <c r="X18" s="33"/>
      <c r="Y18" s="33"/>
    </row>
    <row r="19" spans="1:25" ht="15.75" customHeight="1" x14ac:dyDescent="0.25">
      <c r="A19" s="275"/>
      <c r="B19" s="266">
        <v>7.25</v>
      </c>
      <c r="C19" s="37">
        <v>101.898</v>
      </c>
      <c r="D19" s="281"/>
      <c r="E19" s="276"/>
      <c r="F19" s="917" t="s">
        <v>43</v>
      </c>
      <c r="G19" s="918">
        <v>0</v>
      </c>
      <c r="H19" s="35">
        <v>-1.75</v>
      </c>
      <c r="I19" s="35">
        <v>-2</v>
      </c>
      <c r="J19" s="29">
        <v>-2</v>
      </c>
      <c r="K19" s="35">
        <v>-2.5</v>
      </c>
      <c r="L19" s="35">
        <v>-3</v>
      </c>
      <c r="M19" s="35">
        <v>-4.25</v>
      </c>
      <c r="N19" s="35">
        <v>-5.25</v>
      </c>
      <c r="O19" s="269" t="s">
        <v>643</v>
      </c>
      <c r="P19" s="268" t="s">
        <v>643</v>
      </c>
      <c r="Q19" s="298"/>
      <c r="R19" s="276"/>
      <c r="S19" s="909" t="s">
        <v>44</v>
      </c>
      <c r="T19" s="910"/>
      <c r="U19" s="32" t="s">
        <v>32</v>
      </c>
      <c r="V19" s="272">
        <f>'Feed(WS)'!$R$163</f>
        <v>0</v>
      </c>
      <c r="W19" s="276"/>
      <c r="X19" s="33"/>
      <c r="Y19" s="33"/>
    </row>
    <row r="20" spans="1:25" ht="15.75" customHeight="1" x14ac:dyDescent="0.25">
      <c r="A20" s="275"/>
      <c r="B20" s="266">
        <v>7.375</v>
      </c>
      <c r="C20" s="37">
        <v>102.25</v>
      </c>
      <c r="D20" s="281"/>
      <c r="E20" s="276"/>
      <c r="F20" s="917" t="s">
        <v>45</v>
      </c>
      <c r="G20" s="918">
        <v>0</v>
      </c>
      <c r="H20" s="35">
        <v>-2.5</v>
      </c>
      <c r="I20" s="35">
        <v>-2.75</v>
      </c>
      <c r="J20" s="29">
        <v>-2.75</v>
      </c>
      <c r="K20" s="35">
        <v>-3.25</v>
      </c>
      <c r="L20" s="35">
        <v>-3.75</v>
      </c>
      <c r="M20" s="35">
        <v>-5.25</v>
      </c>
      <c r="N20" s="35">
        <v>-6.25</v>
      </c>
      <c r="O20" s="269" t="s">
        <v>643</v>
      </c>
      <c r="P20" s="268" t="s">
        <v>643</v>
      </c>
      <c r="Q20" s="298"/>
      <c r="R20" s="276"/>
      <c r="S20" s="909" t="s">
        <v>46</v>
      </c>
      <c r="T20" s="910"/>
      <c r="U20" s="32" t="s">
        <v>32</v>
      </c>
      <c r="V20" s="272">
        <f>'Feed(WS)'!$Q$163</f>
        <v>0</v>
      </c>
      <c r="W20" s="276"/>
      <c r="X20" s="33"/>
      <c r="Y20" s="33"/>
    </row>
    <row r="21" spans="1:25" ht="15.75" customHeight="1" x14ac:dyDescent="0.25">
      <c r="A21" s="275"/>
      <c r="B21" s="266">
        <v>7.4989999999999997</v>
      </c>
      <c r="C21" s="37">
        <v>102.593</v>
      </c>
      <c r="D21" s="281"/>
      <c r="E21" s="276"/>
      <c r="F21" s="921"/>
      <c r="G21" s="922"/>
      <c r="H21" s="922"/>
      <c r="I21" s="922"/>
      <c r="J21" s="922"/>
      <c r="K21" s="922"/>
      <c r="L21" s="922"/>
      <c r="M21" s="922"/>
      <c r="N21" s="922"/>
      <c r="O21" s="922"/>
      <c r="P21" s="923"/>
      <c r="Q21" s="298"/>
      <c r="R21" s="276"/>
      <c r="S21" s="909" t="s">
        <v>47</v>
      </c>
      <c r="T21" s="910"/>
      <c r="U21" s="32" t="s">
        <v>32</v>
      </c>
      <c r="V21" s="272" t="e">
        <f>IF(OR($U$11="", $U$21=""), "",
   INDEX($H$38:$P$47,
         MATCH($U$21,$F$38:$F$47,0),
         MATCH($U$11,$H$10:$P$10,0)))</f>
        <v>#N/A</v>
      </c>
      <c r="W21" s="276"/>
      <c r="X21" s="33"/>
    </row>
    <row r="22" spans="1:25" x14ac:dyDescent="0.25">
      <c r="A22" s="275"/>
      <c r="B22" s="266">
        <v>7.625</v>
      </c>
      <c r="C22" s="37">
        <v>102.93</v>
      </c>
      <c r="D22" s="281"/>
      <c r="E22" s="276"/>
      <c r="F22" s="945" t="s">
        <v>28</v>
      </c>
      <c r="G22" s="968"/>
      <c r="H22" s="968"/>
      <c r="I22" s="968"/>
      <c r="J22" s="968"/>
      <c r="K22" s="968"/>
      <c r="L22" s="968"/>
      <c r="M22" s="968"/>
      <c r="N22" s="968"/>
      <c r="O22" s="968"/>
      <c r="P22" s="946"/>
      <c r="Q22" s="276"/>
      <c r="R22" s="276"/>
      <c r="S22" s="909" t="s">
        <v>48</v>
      </c>
      <c r="T22" s="910"/>
      <c r="U22" s="32" t="s">
        <v>32</v>
      </c>
      <c r="V22" s="272" t="e">
        <f>IF(OR($U$11="", $U$22=""), "",
   INDEX($H$32:$P$36,
         MATCH($U$22,$F$32:$F$36,0),
         MATCH($U$11,$H$10:$P$10,0)))</f>
        <v>#N/A</v>
      </c>
      <c r="W22" s="276"/>
    </row>
    <row r="23" spans="1:25" ht="15.75" customHeight="1" x14ac:dyDescent="0.25">
      <c r="A23" s="275"/>
      <c r="B23" s="266">
        <v>7.75</v>
      </c>
      <c r="C23" s="37">
        <v>103.258</v>
      </c>
      <c r="D23" s="281"/>
      <c r="E23" s="276"/>
      <c r="F23" s="625" t="s">
        <v>49</v>
      </c>
      <c r="G23" s="626"/>
      <c r="H23" s="44">
        <v>0.5</v>
      </c>
      <c r="I23" s="44">
        <v>0.5</v>
      </c>
      <c r="J23" s="44">
        <v>0.5</v>
      </c>
      <c r="K23" s="44">
        <v>0.5</v>
      </c>
      <c r="L23" s="44">
        <v>0.5</v>
      </c>
      <c r="M23" s="44">
        <v>0.5</v>
      </c>
      <c r="N23" s="44">
        <v>0.5</v>
      </c>
      <c r="O23" s="44">
        <v>0.5</v>
      </c>
      <c r="P23" s="45" t="s">
        <v>643</v>
      </c>
      <c r="Q23" s="276"/>
      <c r="R23" s="276"/>
      <c r="S23" s="909" t="s">
        <v>50</v>
      </c>
      <c r="T23" s="910"/>
      <c r="U23" s="32" t="s">
        <v>32</v>
      </c>
      <c r="V23" s="272">
        <f>'Feed(WS)'!$P$168</f>
        <v>0</v>
      </c>
      <c r="W23" s="276"/>
      <c r="Y23" s="46"/>
    </row>
    <row r="24" spans="1:25" ht="15.75" customHeight="1" x14ac:dyDescent="0.25">
      <c r="A24" s="275"/>
      <c r="B24" s="266">
        <v>7.875</v>
      </c>
      <c r="C24" s="37">
        <v>103.578125</v>
      </c>
      <c r="D24" s="281"/>
      <c r="E24" s="276"/>
      <c r="F24" s="625" t="s">
        <v>29</v>
      </c>
      <c r="G24" s="626"/>
      <c r="H24" s="44">
        <v>0</v>
      </c>
      <c r="I24" s="44">
        <v>0</v>
      </c>
      <c r="J24" s="44">
        <v>0</v>
      </c>
      <c r="K24" s="44">
        <v>0</v>
      </c>
      <c r="L24" s="44">
        <v>0</v>
      </c>
      <c r="M24" s="44">
        <v>0</v>
      </c>
      <c r="N24" s="44">
        <v>0</v>
      </c>
      <c r="O24" s="44">
        <v>0</v>
      </c>
      <c r="P24" s="45">
        <v>0</v>
      </c>
      <c r="Q24" s="276"/>
      <c r="R24" s="276"/>
      <c r="S24" s="909" t="s">
        <v>51</v>
      </c>
      <c r="T24" s="910"/>
      <c r="U24" s="32" t="s">
        <v>32</v>
      </c>
      <c r="V24" s="272">
        <f>'Feed(WS)'!$P$163</f>
        <v>0</v>
      </c>
      <c r="W24" s="276"/>
      <c r="Y24" s="46"/>
    </row>
    <row r="25" spans="1:25" ht="15.75" customHeight="1" x14ac:dyDescent="0.25">
      <c r="A25" s="275"/>
      <c r="B25" s="266">
        <v>7.9989999999999997</v>
      </c>
      <c r="C25" s="37">
        <v>103.859375</v>
      </c>
      <c r="D25" s="281"/>
      <c r="E25" s="276"/>
      <c r="F25" s="945" t="s">
        <v>52</v>
      </c>
      <c r="G25" s="968"/>
      <c r="H25" s="968"/>
      <c r="I25" s="968"/>
      <c r="J25" s="968"/>
      <c r="K25" s="968"/>
      <c r="L25" s="968"/>
      <c r="M25" s="968"/>
      <c r="N25" s="968"/>
      <c r="O25" s="968"/>
      <c r="P25" s="946"/>
      <c r="Q25" s="276"/>
      <c r="R25" s="276"/>
      <c r="S25" s="909" t="s">
        <v>53</v>
      </c>
      <c r="T25" s="910"/>
      <c r="U25" s="32" t="s">
        <v>54</v>
      </c>
      <c r="V25" s="272">
        <f>'Feed(WS)'!$O$163</f>
        <v>0</v>
      </c>
      <c r="W25" s="276"/>
    </row>
    <row r="26" spans="1:25" x14ac:dyDescent="0.25">
      <c r="A26" s="275"/>
      <c r="B26" s="266">
        <v>8.125</v>
      </c>
      <c r="C26" s="37">
        <v>104.109375</v>
      </c>
      <c r="D26" s="281"/>
      <c r="E26" s="276"/>
      <c r="F26" s="625" t="s">
        <v>55</v>
      </c>
      <c r="G26" s="626"/>
      <c r="H26" s="44">
        <v>-0.25</v>
      </c>
      <c r="I26" s="44">
        <v>-0.25</v>
      </c>
      <c r="J26" s="44">
        <v>-0.25</v>
      </c>
      <c r="K26" s="44">
        <v>-0.25</v>
      </c>
      <c r="L26" s="44">
        <v>-0.25</v>
      </c>
      <c r="M26" s="44">
        <v>-0.25</v>
      </c>
      <c r="N26" s="44">
        <v>-0.25</v>
      </c>
      <c r="O26" s="44">
        <v>-0.25</v>
      </c>
      <c r="P26" s="45">
        <v>-0.25</v>
      </c>
      <c r="Q26" s="276"/>
      <c r="R26" s="276"/>
      <c r="S26" s="909" t="s">
        <v>56</v>
      </c>
      <c r="T26" s="910"/>
      <c r="U26" s="32" t="s">
        <v>57</v>
      </c>
      <c r="V26" s="272">
        <f>'Feed(WS)'!$Q$168</f>
        <v>0</v>
      </c>
      <c r="W26" s="276"/>
    </row>
    <row r="27" spans="1:25" ht="15.75" customHeight="1" x14ac:dyDescent="0.25">
      <c r="A27" s="275"/>
      <c r="B27" s="266">
        <v>8.25</v>
      </c>
      <c r="C27" s="37">
        <v>104.359375</v>
      </c>
      <c r="D27" s="281"/>
      <c r="E27" s="276"/>
      <c r="F27" s="625" t="s">
        <v>58</v>
      </c>
      <c r="G27" s="626"/>
      <c r="H27" s="44">
        <v>-0.25</v>
      </c>
      <c r="I27" s="44">
        <v>-0.25</v>
      </c>
      <c r="J27" s="44">
        <v>-0.25</v>
      </c>
      <c r="K27" s="44">
        <v>-0.25</v>
      </c>
      <c r="L27" s="44">
        <v>-0.25</v>
      </c>
      <c r="M27" s="44">
        <v>-0.25</v>
      </c>
      <c r="N27" s="44">
        <v>-0.25</v>
      </c>
      <c r="O27" s="44">
        <v>-0.25</v>
      </c>
      <c r="P27" s="45">
        <v>-0.5</v>
      </c>
      <c r="Q27" s="276"/>
      <c r="R27" s="276"/>
      <c r="S27" s="909" t="s">
        <v>59</v>
      </c>
      <c r="T27" s="910"/>
      <c r="U27" s="32" t="s">
        <v>32</v>
      </c>
      <c r="V27" s="272">
        <f>IF($U$11="", "",
   IF($U$27="Choose a Selection",0,
      INDEX($H$55:$P$66,
           MATCH($U$27,$F$55:$F$66,0),
           MATCH($U$11,$H$10:$P$10,0))))</f>
        <v>0</v>
      </c>
      <c r="W27" s="276"/>
      <c r="X27" s="3"/>
    </row>
    <row r="28" spans="1:25" ht="15.75" customHeight="1" x14ac:dyDescent="0.25">
      <c r="A28" s="275"/>
      <c r="B28" s="266">
        <v>8.375</v>
      </c>
      <c r="C28" s="37">
        <v>104.609375</v>
      </c>
      <c r="D28" s="281"/>
      <c r="E28" s="276"/>
      <c r="F28" s="625" t="s">
        <v>60</v>
      </c>
      <c r="G28" s="626"/>
      <c r="H28" s="44">
        <v>-0.125</v>
      </c>
      <c r="I28" s="44">
        <v>-0.25</v>
      </c>
      <c r="J28" s="44">
        <v>-0.25</v>
      </c>
      <c r="K28" s="44">
        <v>-0.25</v>
      </c>
      <c r="L28" s="44">
        <v>-0.375</v>
      </c>
      <c r="M28" s="44">
        <v>-0.5</v>
      </c>
      <c r="N28" s="44">
        <v>-1</v>
      </c>
      <c r="O28" s="44" t="s">
        <v>643</v>
      </c>
      <c r="P28" s="45" t="s">
        <v>643</v>
      </c>
      <c r="Q28" s="276"/>
      <c r="R28" s="276"/>
      <c r="S28" s="909" t="s">
        <v>61</v>
      </c>
      <c r="T28" s="910"/>
      <c r="U28" s="32"/>
      <c r="V28" s="272">
        <v>0</v>
      </c>
      <c r="W28" s="276"/>
      <c r="X28" s="3"/>
    </row>
    <row r="29" spans="1:25" x14ac:dyDescent="0.25">
      <c r="A29" s="275"/>
      <c r="B29" s="266">
        <v>8.4990000000000006</v>
      </c>
      <c r="C29" s="37">
        <v>104.859375</v>
      </c>
      <c r="D29" s="281"/>
      <c r="E29" s="276"/>
      <c r="F29" s="625" t="s">
        <v>62</v>
      </c>
      <c r="G29" s="626"/>
      <c r="H29" s="44">
        <v>-0.125</v>
      </c>
      <c r="I29" s="44">
        <v>-0.25</v>
      </c>
      <c r="J29" s="44">
        <v>-0.25</v>
      </c>
      <c r="K29" s="44">
        <v>-0.25</v>
      </c>
      <c r="L29" s="44">
        <v>-0.25</v>
      </c>
      <c r="M29" s="44">
        <v>-0.25</v>
      </c>
      <c r="N29" s="44">
        <v>-0.375</v>
      </c>
      <c r="O29" s="44">
        <v>-0.375</v>
      </c>
      <c r="P29" s="45">
        <v>-0.375</v>
      </c>
      <c r="Q29" s="276"/>
      <c r="R29" s="276"/>
      <c r="S29" s="909" t="s">
        <v>63</v>
      </c>
      <c r="T29" s="910"/>
      <c r="U29" s="32" t="s">
        <v>32</v>
      </c>
      <c r="V29" s="272">
        <v>0</v>
      </c>
      <c r="W29" s="276"/>
      <c r="X29" s="47"/>
    </row>
    <row r="30" spans="1:25" x14ac:dyDescent="0.25">
      <c r="A30" s="275"/>
      <c r="B30" s="266">
        <v>8.625</v>
      </c>
      <c r="C30" s="37">
        <v>105.109375</v>
      </c>
      <c r="D30" s="281"/>
      <c r="E30" s="276"/>
      <c r="F30" s="625" t="s">
        <v>64</v>
      </c>
      <c r="G30" s="626"/>
      <c r="H30" s="44">
        <v>-0.75</v>
      </c>
      <c r="I30" s="44">
        <v>-0.75</v>
      </c>
      <c r="J30" s="44">
        <v>-0.75</v>
      </c>
      <c r="K30" s="44">
        <v>-0.75</v>
      </c>
      <c r="L30" s="44">
        <v>-0.75</v>
      </c>
      <c r="M30" s="44">
        <v>-0.75</v>
      </c>
      <c r="N30" s="44">
        <v>-0.75</v>
      </c>
      <c r="O30" s="44" t="s">
        <v>643</v>
      </c>
      <c r="P30" s="45" t="s">
        <v>643</v>
      </c>
      <c r="Q30" s="276"/>
      <c r="R30" s="276"/>
      <c r="S30" s="909" t="s">
        <v>65</v>
      </c>
      <c r="T30" s="910"/>
      <c r="U30" s="48" t="s">
        <v>66</v>
      </c>
      <c r="V30" s="272" t="e">
        <f>'Feed(WS)'!$R$168</f>
        <v>#N/A</v>
      </c>
      <c r="W30" s="276"/>
    </row>
    <row r="31" spans="1:25" x14ac:dyDescent="0.25">
      <c r="A31" s="275"/>
      <c r="B31" s="266">
        <v>8.75</v>
      </c>
      <c r="C31" s="37">
        <v>105.296875</v>
      </c>
      <c r="D31" s="281"/>
      <c r="E31" s="276"/>
      <c r="F31" s="945" t="s">
        <v>48</v>
      </c>
      <c r="G31" s="968"/>
      <c r="H31" s="968"/>
      <c r="I31" s="968"/>
      <c r="J31" s="968"/>
      <c r="K31" s="968"/>
      <c r="L31" s="968"/>
      <c r="M31" s="968"/>
      <c r="N31" s="968"/>
      <c r="O31" s="968"/>
      <c r="P31" s="946"/>
      <c r="Q31" s="276"/>
      <c r="R31" s="276"/>
      <c r="S31" s="909" t="s">
        <v>67</v>
      </c>
      <c r="T31" s="910"/>
      <c r="U31" s="48" t="s">
        <v>68</v>
      </c>
      <c r="V31" s="272" cm="1">
        <f t="array" ref="V31">IF(OR(
      AND(OR($U$31='Feed(WS)'!$R$4:$R$5), $U$22&lt;&gt;'Feed(WS)'!$J$3),
      AND(OR($U$31='Feed(WS)'!$R$4:$R$5), $U$25&lt;&gt;'Feed(WS)'!$M$4),
      AND(OR($U$31='Feed(WS)'!$R$4:$R$5), $U$23&lt;&gt;'Feed(WS)'!$L$3:$L$4),
   ),
   NA(),
   0)</f>
        <v>0</v>
      </c>
      <c r="W31" s="276"/>
    </row>
    <row r="32" spans="1:25" x14ac:dyDescent="0.25">
      <c r="A32" s="275"/>
      <c r="B32" s="266">
        <v>8.875</v>
      </c>
      <c r="C32" s="37">
        <v>105.484375</v>
      </c>
      <c r="D32" s="281"/>
      <c r="E32" s="276"/>
      <c r="F32" s="625" t="s">
        <v>69</v>
      </c>
      <c r="G32" s="626"/>
      <c r="H32" s="44">
        <v>0</v>
      </c>
      <c r="I32" s="44">
        <v>0</v>
      </c>
      <c r="J32" s="44">
        <v>0</v>
      </c>
      <c r="K32" s="44">
        <v>0</v>
      </c>
      <c r="L32" s="44">
        <v>0</v>
      </c>
      <c r="M32" s="44">
        <v>0</v>
      </c>
      <c r="N32" s="44">
        <v>0</v>
      </c>
      <c r="O32" s="44">
        <v>0</v>
      </c>
      <c r="P32" s="45">
        <v>0</v>
      </c>
      <c r="Q32" s="276"/>
      <c r="R32" s="276"/>
      <c r="S32" s="909" t="s">
        <v>70</v>
      </c>
      <c r="T32" s="910"/>
      <c r="U32" s="48" t="s">
        <v>68</v>
      </c>
      <c r="V32" s="272">
        <f>IF($U$11="","",
   IF($U$32="","",
      IF(OR($U$32="No",$U$32="Choose a Selection"),0,
         INDEX($H$68:$P$74,
              MATCH(IF($U$32="Yes",$S$32,$U$32),$F$68:$F$74,0),
              MATCH($U$11,$H$10:$P$10,0)))))</f>
        <v>0</v>
      </c>
      <c r="W32" s="276"/>
    </row>
    <row r="33" spans="1:25" ht="15.75" customHeight="1" x14ac:dyDescent="0.25">
      <c r="A33" s="275"/>
      <c r="B33" s="266">
        <v>8.9990000000000006</v>
      </c>
      <c r="C33" s="37">
        <v>105.671875</v>
      </c>
      <c r="D33" s="281"/>
      <c r="E33" s="276"/>
      <c r="F33" s="625" t="s">
        <v>71</v>
      </c>
      <c r="G33" s="626"/>
      <c r="H33" s="44">
        <v>0</v>
      </c>
      <c r="I33" s="44">
        <v>0</v>
      </c>
      <c r="J33" s="44">
        <v>0</v>
      </c>
      <c r="K33" s="44">
        <v>0</v>
      </c>
      <c r="L33" s="44">
        <v>-0.25</v>
      </c>
      <c r="M33" s="44">
        <v>-0.25</v>
      </c>
      <c r="N33" s="44">
        <v>-0.25</v>
      </c>
      <c r="O33" s="44">
        <v>-0.25</v>
      </c>
      <c r="P33" s="45" t="s">
        <v>643</v>
      </c>
      <c r="Q33" s="276"/>
      <c r="R33" s="276"/>
      <c r="S33" s="909" t="s">
        <v>74</v>
      </c>
      <c r="T33" s="910"/>
      <c r="U33" s="49" t="str">
        <f>IF(ISNA(V33),"Yes",IF(V33=0,"No",""))</f>
        <v>No</v>
      </c>
      <c r="V33" s="272">
        <f>'Feed(WS)'!$B$67</f>
        <v>0</v>
      </c>
      <c r="W33" s="276"/>
    </row>
    <row r="34" spans="1:25" x14ac:dyDescent="0.25">
      <c r="A34" s="275"/>
      <c r="B34" s="266">
        <v>9.125</v>
      </c>
      <c r="C34" s="37">
        <v>105.859375</v>
      </c>
      <c r="D34" s="281"/>
      <c r="E34" s="276"/>
      <c r="F34" s="625" t="s">
        <v>73</v>
      </c>
      <c r="G34" s="626"/>
      <c r="H34" s="44">
        <v>0</v>
      </c>
      <c r="I34" s="44">
        <v>-0.125</v>
      </c>
      <c r="J34" s="44">
        <v>-0.125</v>
      </c>
      <c r="K34" s="44">
        <v>-0.125</v>
      </c>
      <c r="L34" s="44">
        <v>-0.25</v>
      </c>
      <c r="M34" s="44">
        <v>-0.5</v>
      </c>
      <c r="N34" s="44">
        <v>-0.75</v>
      </c>
      <c r="O34" s="44" t="s">
        <v>643</v>
      </c>
      <c r="P34" s="45" t="s">
        <v>643</v>
      </c>
      <c r="Q34" s="276"/>
      <c r="R34" s="276"/>
      <c r="S34" s="909" t="s">
        <v>74</v>
      </c>
      <c r="T34" s="910"/>
      <c r="U34" s="49" t="s">
        <v>75</v>
      </c>
      <c r="V34" s="272">
        <v>0</v>
      </c>
      <c r="W34" s="276"/>
    </row>
    <row r="35" spans="1:25" ht="15.75" customHeight="1" x14ac:dyDescent="0.25">
      <c r="A35" s="275"/>
      <c r="B35" s="266">
        <v>9.25</v>
      </c>
      <c r="C35" s="37">
        <v>106.046875</v>
      </c>
      <c r="D35" s="281"/>
      <c r="E35" s="276"/>
      <c r="F35" s="625" t="s">
        <v>76</v>
      </c>
      <c r="G35" s="626"/>
      <c r="H35" s="44">
        <v>-0.25</v>
      </c>
      <c r="I35" s="44">
        <v>-0.25</v>
      </c>
      <c r="J35" s="44">
        <v>-0.25</v>
      </c>
      <c r="K35" s="44">
        <v>-0.25</v>
      </c>
      <c r="L35" s="44">
        <v>-0.25</v>
      </c>
      <c r="M35" s="44">
        <v>-0.5</v>
      </c>
      <c r="N35" s="44">
        <v>-0.5</v>
      </c>
      <c r="O35" s="44" t="s">
        <v>643</v>
      </c>
      <c r="P35" s="45" t="s">
        <v>643</v>
      </c>
      <c r="Q35" s="276"/>
      <c r="R35" s="276"/>
      <c r="S35" s="909" t="s">
        <v>208</v>
      </c>
      <c r="T35" s="910"/>
      <c r="U35" s="49" t="e">
        <f>IF(V36=0,'Feed(WS)'!Y4,'Feed(WS)'!Y5)</f>
        <v>#N/A</v>
      </c>
      <c r="V35" s="272" t="b">
        <f>'Feed(WS)'!$Z$1</f>
        <v>0</v>
      </c>
      <c r="W35" s="276"/>
    </row>
    <row r="36" spans="1:25" x14ac:dyDescent="0.25">
      <c r="A36" s="275"/>
      <c r="B36" s="266">
        <v>9.375</v>
      </c>
      <c r="C36" s="37">
        <v>106.234375</v>
      </c>
      <c r="D36" s="281"/>
      <c r="E36" s="276"/>
      <c r="F36" s="625" t="s">
        <v>77</v>
      </c>
      <c r="G36" s="626"/>
      <c r="H36" s="44">
        <v>-0.5</v>
      </c>
      <c r="I36" s="44">
        <v>-0.5</v>
      </c>
      <c r="J36" s="44">
        <v>-0.5</v>
      </c>
      <c r="K36" s="44">
        <v>-0.5</v>
      </c>
      <c r="L36" s="44">
        <v>-0.5</v>
      </c>
      <c r="M36" s="44">
        <v>-0.75</v>
      </c>
      <c r="N36" s="44" t="s">
        <v>643</v>
      </c>
      <c r="O36" s="44" t="s">
        <v>643</v>
      </c>
      <c r="P36" s="45" t="s">
        <v>643</v>
      </c>
      <c r="Q36" s="276"/>
      <c r="R36" s="276"/>
      <c r="S36" s="911" t="s">
        <v>78</v>
      </c>
      <c r="T36" s="912"/>
      <c r="U36" s="913"/>
      <c r="V36" s="273" t="e">
        <f>SUM($V$12:$V$35)</f>
        <v>#N/A</v>
      </c>
      <c r="W36" s="276"/>
    </row>
    <row r="37" spans="1:25" ht="15.75" customHeight="1" x14ac:dyDescent="0.25">
      <c r="A37" s="275"/>
      <c r="B37" s="266">
        <v>9.4990000000000006</v>
      </c>
      <c r="C37" s="37">
        <v>106.421875</v>
      </c>
      <c r="D37" s="281"/>
      <c r="E37" s="276"/>
      <c r="F37" s="945" t="s">
        <v>79</v>
      </c>
      <c r="G37" s="968"/>
      <c r="H37" s="968"/>
      <c r="I37" s="968"/>
      <c r="J37" s="968"/>
      <c r="K37" s="968"/>
      <c r="L37" s="968"/>
      <c r="M37" s="968"/>
      <c r="N37" s="968"/>
      <c r="O37" s="968"/>
      <c r="P37" s="946"/>
      <c r="Q37" s="299"/>
      <c r="R37" s="276"/>
      <c r="S37" s="911" t="s">
        <v>80</v>
      </c>
      <c r="T37" s="912"/>
      <c r="U37" s="913"/>
      <c r="V37" s="273" t="str">
        <f>_xlfn.XLOOKUP($U$10, $B$10:$B$50, $C$10:$C$50, "#N/A")</f>
        <v>#N/A</v>
      </c>
      <c r="W37" s="276"/>
      <c r="Y37" s="47"/>
    </row>
    <row r="38" spans="1:25" ht="15.75" customHeight="1" x14ac:dyDescent="0.25">
      <c r="A38" s="275"/>
      <c r="B38" s="266">
        <v>9.625</v>
      </c>
      <c r="C38" s="37">
        <v>106.609375</v>
      </c>
      <c r="D38" s="281"/>
      <c r="E38" s="276"/>
      <c r="F38" s="625" t="s">
        <v>81</v>
      </c>
      <c r="G38" s="626"/>
      <c r="H38" s="44">
        <v>-0.5</v>
      </c>
      <c r="I38" s="44">
        <v>-0.625</v>
      </c>
      <c r="J38" s="44">
        <v>-0.625</v>
      </c>
      <c r="K38" s="44">
        <v>-0.75</v>
      </c>
      <c r="L38" s="44">
        <v>-0.75</v>
      </c>
      <c r="M38" s="44">
        <v>-0.875</v>
      </c>
      <c r="N38" s="44">
        <v>-1</v>
      </c>
      <c r="O38" s="44">
        <v>-1.5</v>
      </c>
      <c r="P38" s="45">
        <v>-1.5</v>
      </c>
      <c r="Q38" s="276"/>
      <c r="R38" s="276"/>
      <c r="S38" s="911" t="s">
        <v>82</v>
      </c>
      <c r="T38" s="912"/>
      <c r="U38" s="913"/>
      <c r="V38" s="273" t="str">
        <f>IFERROR(IF(AND($U$10&lt;&gt;'Feed(WS)'!$K$134,$V$39=$T$64),NA(),$V$37+$V$36),"#N/A")</f>
        <v>#N/A</v>
      </c>
      <c r="W38" s="276"/>
    </row>
    <row r="39" spans="1:25" x14ac:dyDescent="0.25">
      <c r="A39" s="275"/>
      <c r="B39" s="266">
        <v>9.75</v>
      </c>
      <c r="C39" s="37">
        <v>106.796875</v>
      </c>
      <c r="D39" s="281"/>
      <c r="E39" s="276"/>
      <c r="F39" s="625" t="s">
        <v>83</v>
      </c>
      <c r="G39" s="626"/>
      <c r="H39" s="44">
        <v>0</v>
      </c>
      <c r="I39" s="44">
        <v>0</v>
      </c>
      <c r="J39" s="44">
        <v>0</v>
      </c>
      <c r="K39" s="44">
        <v>0</v>
      </c>
      <c r="L39" s="44">
        <v>0</v>
      </c>
      <c r="M39" s="44">
        <v>0</v>
      </c>
      <c r="N39" s="44">
        <v>0</v>
      </c>
      <c r="O39" s="44">
        <v>-0.25</v>
      </c>
      <c r="P39" s="45">
        <v>-0.5</v>
      </c>
      <c r="Q39" s="276"/>
      <c r="R39" s="276"/>
      <c r="S39" s="911" t="s">
        <v>84</v>
      </c>
      <c r="T39" s="912"/>
      <c r="U39" s="913"/>
      <c r="V39" s="273" t="e">
        <f>IF(OR('Feed(WS)'!$E$147=0, ISERROR('Feed(WS)'!$E$147)), NA(), 'Feed(WS)'!$E$147)</f>
        <v>#N/A</v>
      </c>
      <c r="W39" s="276"/>
    </row>
    <row r="40" spans="1:25" ht="14.25" customHeight="1" x14ac:dyDescent="0.25">
      <c r="A40" s="275"/>
      <c r="B40" s="266">
        <v>9.875</v>
      </c>
      <c r="C40" s="37">
        <v>106.921875</v>
      </c>
      <c r="D40" s="281"/>
      <c r="E40" s="276"/>
      <c r="F40" s="625" t="s">
        <v>85</v>
      </c>
      <c r="G40" s="626"/>
      <c r="H40" s="44">
        <v>0</v>
      </c>
      <c r="I40" s="44">
        <v>0</v>
      </c>
      <c r="J40" s="44">
        <v>0</v>
      </c>
      <c r="K40" s="44">
        <v>0</v>
      </c>
      <c r="L40" s="44">
        <v>0</v>
      </c>
      <c r="M40" s="44">
        <v>0</v>
      </c>
      <c r="N40" s="44">
        <v>0</v>
      </c>
      <c r="O40" s="44">
        <v>0</v>
      </c>
      <c r="P40" s="45">
        <v>0</v>
      </c>
      <c r="Q40" s="276"/>
      <c r="R40" s="276"/>
      <c r="S40" s="914" t="s">
        <v>86</v>
      </c>
      <c r="T40" s="915"/>
      <c r="U40" s="924"/>
      <c r="V40" s="274" t="e">
        <f>IF(OR($V$36="#NA",$V$37="#NA"),NA(),IF(AND($U$9&lt;&gt;'Feed(WS)'!$K$134,$V$39=$T$64),NA(),IF($V$38&gt;$V$39,$V$39,$V$38)))</f>
        <v>#N/A</v>
      </c>
      <c r="W40" s="276"/>
    </row>
    <row r="41" spans="1:25" ht="14.25" customHeight="1" x14ac:dyDescent="0.25">
      <c r="A41" s="275"/>
      <c r="B41" s="266">
        <v>9.9990000000000006</v>
      </c>
      <c r="C41" s="37">
        <v>107.046875</v>
      </c>
      <c r="D41" s="281"/>
      <c r="E41" s="276"/>
      <c r="F41" s="638" t="s">
        <v>87</v>
      </c>
      <c r="G41" s="639"/>
      <c r="H41" s="44">
        <v>0.375</v>
      </c>
      <c r="I41" s="44">
        <v>0.375</v>
      </c>
      <c r="J41" s="44">
        <v>0.25</v>
      </c>
      <c r="K41" s="44">
        <v>0.25</v>
      </c>
      <c r="L41" s="44">
        <v>0.25</v>
      </c>
      <c r="M41" s="44">
        <v>0.25</v>
      </c>
      <c r="N41" s="44">
        <v>0.25</v>
      </c>
      <c r="O41" s="44">
        <v>0</v>
      </c>
      <c r="P41" s="45">
        <v>0</v>
      </c>
      <c r="Q41" s="276"/>
      <c r="R41" s="276"/>
      <c r="S41" s="914" t="str" cm="1">
        <f t="array" ref="S41">IF(OR($U$11:$U$25="Choose a Selection"),"",CONCATENATE('Feed(WS)'!$I$134," ",'Feed(WS)'!$K$134,"%"&amp;" @ "&amp;'Feed(WS)'!$L$134))</f>
        <v/>
      </c>
      <c r="T41" s="915"/>
      <c r="U41" s="915"/>
      <c r="V41" s="916"/>
      <c r="W41" s="276"/>
    </row>
    <row r="42" spans="1:25" ht="15.75" customHeight="1" x14ac:dyDescent="0.25">
      <c r="A42" s="275"/>
      <c r="B42" s="266">
        <v>10.125</v>
      </c>
      <c r="C42" s="37">
        <v>107.171875</v>
      </c>
      <c r="D42" s="281"/>
      <c r="E42" s="276"/>
      <c r="F42" s="638" t="s">
        <v>88</v>
      </c>
      <c r="G42" s="639"/>
      <c r="H42" s="44">
        <v>0</v>
      </c>
      <c r="I42" s="44">
        <v>0</v>
      </c>
      <c r="J42" s="44">
        <v>0</v>
      </c>
      <c r="K42" s="44">
        <v>0</v>
      </c>
      <c r="L42" s="44">
        <v>0</v>
      </c>
      <c r="M42" s="44">
        <v>0</v>
      </c>
      <c r="N42" s="44">
        <v>0</v>
      </c>
      <c r="O42" s="44">
        <v>0</v>
      </c>
      <c r="P42" s="45">
        <v>0</v>
      </c>
      <c r="Q42" s="276"/>
      <c r="R42" s="276"/>
      <c r="S42" s="964" t="s">
        <v>89</v>
      </c>
      <c r="T42" s="964"/>
      <c r="U42" s="964"/>
      <c r="V42" s="965"/>
      <c r="W42" s="276"/>
    </row>
    <row r="43" spans="1:25" ht="14.25" customHeight="1" x14ac:dyDescent="0.25">
      <c r="A43" s="275"/>
      <c r="B43" s="266">
        <v>10.25</v>
      </c>
      <c r="C43" s="37">
        <v>107.296875</v>
      </c>
      <c r="D43" s="281"/>
      <c r="E43" s="276"/>
      <c r="F43" s="638" t="s">
        <v>90</v>
      </c>
      <c r="G43" s="639"/>
      <c r="H43" s="44">
        <v>-0.25</v>
      </c>
      <c r="I43" s="44">
        <v>-0.25</v>
      </c>
      <c r="J43" s="44">
        <v>-0.25</v>
      </c>
      <c r="K43" s="44">
        <v>-0.25</v>
      </c>
      <c r="L43" s="44">
        <v>-0.25</v>
      </c>
      <c r="M43" s="44">
        <v>-0.25</v>
      </c>
      <c r="N43" s="44">
        <v>-0.25</v>
      </c>
      <c r="O43" s="44">
        <v>-0.25</v>
      </c>
      <c r="P43" s="45" t="s">
        <v>643</v>
      </c>
      <c r="Q43" s="300"/>
      <c r="R43" s="276"/>
      <c r="S43" s="966"/>
      <c r="T43" s="966"/>
      <c r="U43" s="966"/>
      <c r="V43" s="967"/>
      <c r="W43" s="276"/>
    </row>
    <row r="44" spans="1:25" ht="15.75" customHeight="1" x14ac:dyDescent="0.25">
      <c r="A44" s="275"/>
      <c r="B44" s="266">
        <v>10.375</v>
      </c>
      <c r="C44" s="37">
        <v>107.421875</v>
      </c>
      <c r="D44" s="281"/>
      <c r="E44" s="276"/>
      <c r="F44" s="638" t="s">
        <v>91</v>
      </c>
      <c r="G44" s="639"/>
      <c r="H44" s="44">
        <v>-0.5</v>
      </c>
      <c r="I44" s="44">
        <v>-0.5</v>
      </c>
      <c r="J44" s="44">
        <v>-0.5</v>
      </c>
      <c r="K44" s="44">
        <v>-0.5</v>
      </c>
      <c r="L44" s="44">
        <v>-0.5</v>
      </c>
      <c r="M44" s="44">
        <v>-0.5</v>
      </c>
      <c r="N44" s="44">
        <v>-0.5</v>
      </c>
      <c r="O44" s="44" t="s">
        <v>643</v>
      </c>
      <c r="P44" s="45" t="s">
        <v>643</v>
      </c>
      <c r="Q44" s="276"/>
      <c r="R44" s="276"/>
      <c r="S44" s="966"/>
      <c r="T44" s="966"/>
      <c r="U44" s="966"/>
      <c r="V44" s="967"/>
      <c r="W44" s="276"/>
    </row>
    <row r="45" spans="1:25" ht="14.25" customHeight="1" x14ac:dyDescent="0.25">
      <c r="A45" s="275"/>
      <c r="B45" s="266">
        <v>10.499000000000001</v>
      </c>
      <c r="C45" s="37">
        <v>107.546875</v>
      </c>
      <c r="D45" s="281"/>
      <c r="E45" s="276"/>
      <c r="F45" s="638" t="s">
        <v>92</v>
      </c>
      <c r="G45" s="639"/>
      <c r="H45" s="44">
        <v>-1</v>
      </c>
      <c r="I45" s="44">
        <v>-1</v>
      </c>
      <c r="J45" s="44">
        <v>-1</v>
      </c>
      <c r="K45" s="44">
        <v>-1</v>
      </c>
      <c r="L45" s="44">
        <v>-1</v>
      </c>
      <c r="M45" s="44">
        <v>-1</v>
      </c>
      <c r="N45" s="44">
        <v>-1</v>
      </c>
      <c r="O45" s="44" t="s">
        <v>643</v>
      </c>
      <c r="P45" s="45" t="s">
        <v>643</v>
      </c>
      <c r="Q45" s="276"/>
      <c r="R45" s="276"/>
      <c r="S45" s="966"/>
      <c r="T45" s="966"/>
      <c r="U45" s="966"/>
      <c r="V45" s="967"/>
      <c r="W45" s="276"/>
    </row>
    <row r="46" spans="1:25" ht="14.25" customHeight="1" x14ac:dyDescent="0.25">
      <c r="A46" s="275"/>
      <c r="B46" s="266">
        <v>10.625</v>
      </c>
      <c r="C46" s="37">
        <v>107.671875</v>
      </c>
      <c r="D46" s="281"/>
      <c r="E46" s="276"/>
      <c r="F46" s="638" t="s">
        <v>93</v>
      </c>
      <c r="G46" s="639"/>
      <c r="H46" s="44">
        <v>-2</v>
      </c>
      <c r="I46" s="44">
        <v>-2</v>
      </c>
      <c r="J46" s="44">
        <v>-2</v>
      </c>
      <c r="K46" s="44">
        <v>-2</v>
      </c>
      <c r="L46" s="44">
        <v>-2</v>
      </c>
      <c r="M46" s="44" t="s">
        <v>643</v>
      </c>
      <c r="N46" s="44" t="s">
        <v>643</v>
      </c>
      <c r="O46" s="44" t="s">
        <v>643</v>
      </c>
      <c r="P46" s="45" t="s">
        <v>643</v>
      </c>
      <c r="Q46" s="276"/>
      <c r="R46" s="276"/>
      <c r="S46" s="972"/>
      <c r="T46" s="972"/>
      <c r="U46" s="972"/>
      <c r="V46" s="973"/>
      <c r="W46" s="276"/>
    </row>
    <row r="47" spans="1:25" ht="14.25" customHeight="1" x14ac:dyDescent="0.25">
      <c r="A47" s="275"/>
      <c r="B47" s="266">
        <v>10.75</v>
      </c>
      <c r="C47" s="37">
        <v>107.796875</v>
      </c>
      <c r="D47" s="281"/>
      <c r="E47" s="276"/>
      <c r="F47" s="638" t="s">
        <v>94</v>
      </c>
      <c r="G47" s="639"/>
      <c r="H47" s="44">
        <v>-3</v>
      </c>
      <c r="I47" s="44">
        <v>-3</v>
      </c>
      <c r="J47" s="44">
        <v>-3</v>
      </c>
      <c r="K47" s="44">
        <v>-3</v>
      </c>
      <c r="L47" s="44" t="s">
        <v>643</v>
      </c>
      <c r="M47" s="44" t="s">
        <v>643</v>
      </c>
      <c r="N47" s="44" t="s">
        <v>643</v>
      </c>
      <c r="O47" s="44" t="s">
        <v>643</v>
      </c>
      <c r="P47" s="45" t="s">
        <v>643</v>
      </c>
      <c r="Q47" s="276"/>
      <c r="R47" s="276"/>
      <c r="S47" s="964" t="s">
        <v>95</v>
      </c>
      <c r="T47" s="964"/>
      <c r="U47" s="964"/>
      <c r="V47" s="965"/>
      <c r="W47" s="276"/>
    </row>
    <row r="48" spans="1:25" ht="15.75" customHeight="1" x14ac:dyDescent="0.25">
      <c r="A48" s="275"/>
      <c r="B48" s="266">
        <v>10.875</v>
      </c>
      <c r="C48" s="37">
        <v>107.921875</v>
      </c>
      <c r="D48" s="281"/>
      <c r="E48" s="276"/>
      <c r="F48" s="945" t="s">
        <v>96</v>
      </c>
      <c r="G48" s="968"/>
      <c r="H48" s="968"/>
      <c r="I48" s="968"/>
      <c r="J48" s="968"/>
      <c r="K48" s="968"/>
      <c r="L48" s="968"/>
      <c r="M48" s="968"/>
      <c r="N48" s="968"/>
      <c r="O48" s="968"/>
      <c r="P48" s="946"/>
      <c r="Q48" s="276"/>
      <c r="R48" s="276"/>
      <c r="S48" s="966"/>
      <c r="T48" s="966"/>
      <c r="U48" s="966"/>
      <c r="V48" s="967"/>
      <c r="W48" s="276"/>
    </row>
    <row r="49" spans="1:23" ht="15.75" customHeight="1" x14ac:dyDescent="0.25">
      <c r="A49" s="275"/>
      <c r="B49" s="266">
        <v>10.999000000000001</v>
      </c>
      <c r="C49" s="37">
        <v>108.046875</v>
      </c>
      <c r="D49" s="281"/>
      <c r="E49" s="276"/>
      <c r="F49" s="625" t="s">
        <v>97</v>
      </c>
      <c r="G49" s="626"/>
      <c r="H49" s="44">
        <v>-0.375</v>
      </c>
      <c r="I49" s="44">
        <v>-0.5</v>
      </c>
      <c r="J49" s="44">
        <v>-0.5</v>
      </c>
      <c r="K49" s="44">
        <v>-0.75</v>
      </c>
      <c r="L49" s="44">
        <v>-0.75</v>
      </c>
      <c r="M49" s="44">
        <v>-0.75</v>
      </c>
      <c r="N49" s="44">
        <v>-0.75</v>
      </c>
      <c r="O49" s="44">
        <v>-1</v>
      </c>
      <c r="P49" s="45" t="s">
        <v>643</v>
      </c>
      <c r="Q49" s="276"/>
      <c r="R49" s="276"/>
      <c r="S49" s="966"/>
      <c r="T49" s="966"/>
      <c r="U49" s="966"/>
      <c r="V49" s="967"/>
      <c r="W49" s="276"/>
    </row>
    <row r="50" spans="1:23" x14ac:dyDescent="0.25">
      <c r="A50" s="275"/>
      <c r="B50" s="266">
        <v>11.125</v>
      </c>
      <c r="C50" s="37">
        <v>108.171875</v>
      </c>
      <c r="D50" s="281"/>
      <c r="E50" s="276"/>
      <c r="F50" s="625" t="s">
        <v>98</v>
      </c>
      <c r="G50" s="626"/>
      <c r="H50" s="44">
        <v>-0.25</v>
      </c>
      <c r="I50" s="44">
        <v>-0.25</v>
      </c>
      <c r="J50" s="44">
        <v>-0.25</v>
      </c>
      <c r="K50" s="44">
        <v>-0.5</v>
      </c>
      <c r="L50" s="44">
        <v>-0.5</v>
      </c>
      <c r="M50" s="44">
        <v>-0.5</v>
      </c>
      <c r="N50" s="44">
        <v>-0.5</v>
      </c>
      <c r="O50" s="44">
        <v>-0.5</v>
      </c>
      <c r="P50" s="45" t="s">
        <v>643</v>
      </c>
      <c r="Q50" s="276"/>
      <c r="R50" s="276"/>
      <c r="S50" s="966"/>
      <c r="T50" s="966"/>
      <c r="U50" s="966"/>
      <c r="V50" s="967"/>
      <c r="W50" s="303"/>
    </row>
    <row r="51" spans="1:23" ht="13.5" customHeight="1" x14ac:dyDescent="0.25">
      <c r="A51" s="276"/>
      <c r="B51" s="319"/>
      <c r="C51" s="320"/>
      <c r="D51" s="276"/>
      <c r="E51" s="282"/>
      <c r="F51" s="625" t="s">
        <v>99</v>
      </c>
      <c r="G51" s="626"/>
      <c r="H51" s="44">
        <v>-1</v>
      </c>
      <c r="I51" s="44">
        <v>-1</v>
      </c>
      <c r="J51" s="44">
        <v>-1</v>
      </c>
      <c r="K51" s="44">
        <v>-1</v>
      </c>
      <c r="L51" s="44">
        <v>-1.25</v>
      </c>
      <c r="M51" s="44">
        <v>-1.5</v>
      </c>
      <c r="N51" s="44" t="s">
        <v>643</v>
      </c>
      <c r="O51" s="44" t="s">
        <v>643</v>
      </c>
      <c r="P51" s="45" t="s">
        <v>643</v>
      </c>
      <c r="Q51" s="276"/>
      <c r="R51" s="282"/>
      <c r="S51" s="969"/>
      <c r="T51" s="970"/>
      <c r="U51" s="970"/>
      <c r="V51" s="971"/>
      <c r="W51" s="304"/>
    </row>
    <row r="52" spans="1:23" x14ac:dyDescent="0.25">
      <c r="A52" s="276"/>
      <c r="B52" s="321"/>
      <c r="C52" s="322"/>
      <c r="D52" s="276"/>
      <c r="E52" s="276"/>
      <c r="F52" s="625" t="s">
        <v>100</v>
      </c>
      <c r="G52" s="626"/>
      <c r="H52" s="44">
        <v>0</v>
      </c>
      <c r="I52" s="44">
        <v>0</v>
      </c>
      <c r="J52" s="44">
        <v>0</v>
      </c>
      <c r="K52" s="44">
        <v>0</v>
      </c>
      <c r="L52" s="44">
        <v>0</v>
      </c>
      <c r="M52" s="44">
        <v>0</v>
      </c>
      <c r="N52" s="44">
        <v>0</v>
      </c>
      <c r="O52" s="44">
        <v>0</v>
      </c>
      <c r="P52" s="45" t="s">
        <v>643</v>
      </c>
      <c r="Q52" s="276"/>
      <c r="R52" s="276"/>
      <c r="S52" s="958"/>
      <c r="T52" s="959"/>
      <c r="U52" s="959"/>
      <c r="V52" s="960"/>
      <c r="W52" s="304"/>
    </row>
    <row r="53" spans="1:23" x14ac:dyDescent="0.25">
      <c r="A53" s="276"/>
      <c r="B53" s="323"/>
      <c r="C53" s="324"/>
      <c r="D53" s="283"/>
      <c r="E53" s="276"/>
      <c r="F53" s="625" t="s">
        <v>101</v>
      </c>
      <c r="G53" s="626"/>
      <c r="H53" s="44">
        <v>-0.125</v>
      </c>
      <c r="I53" s="44">
        <v>-0.125</v>
      </c>
      <c r="J53" s="44">
        <v>-0.125</v>
      </c>
      <c r="K53" s="44">
        <v>-0.25</v>
      </c>
      <c r="L53" s="44">
        <v>-0.25</v>
      </c>
      <c r="M53" s="44">
        <v>-0.25</v>
      </c>
      <c r="N53" s="44">
        <v>-0.25</v>
      </c>
      <c r="O53" s="44" t="s">
        <v>643</v>
      </c>
      <c r="P53" s="45" t="s">
        <v>643</v>
      </c>
      <c r="Q53" s="276"/>
      <c r="R53" s="276"/>
      <c r="S53" s="961"/>
      <c r="T53" s="962"/>
      <c r="U53" s="962"/>
      <c r="V53" s="963"/>
      <c r="W53" s="304"/>
    </row>
    <row r="54" spans="1:23" ht="15.75" thickBot="1" x14ac:dyDescent="0.3">
      <c r="A54" s="276"/>
      <c r="B54" s="323"/>
      <c r="C54" s="324"/>
      <c r="D54" s="284"/>
      <c r="E54" s="285"/>
      <c r="F54" s="931" t="s">
        <v>59</v>
      </c>
      <c r="G54" s="932"/>
      <c r="H54" s="932"/>
      <c r="I54" s="932"/>
      <c r="J54" s="932"/>
      <c r="K54" s="932"/>
      <c r="L54" s="932"/>
      <c r="M54" s="932"/>
      <c r="N54" s="932"/>
      <c r="O54" s="932"/>
      <c r="P54" s="932"/>
      <c r="Q54" s="276"/>
      <c r="R54" s="276"/>
      <c r="S54" s="961"/>
      <c r="T54" s="962"/>
      <c r="U54" s="962"/>
      <c r="V54" s="963"/>
      <c r="W54" s="304"/>
    </row>
    <row r="55" spans="1:23" x14ac:dyDescent="0.25">
      <c r="A55" s="276"/>
      <c r="B55" s="316" t="s">
        <v>65</v>
      </c>
      <c r="C55" s="318" t="s">
        <v>102</v>
      </c>
      <c r="D55" s="284"/>
      <c r="E55" s="276"/>
      <c r="F55" s="956" t="s">
        <v>103</v>
      </c>
      <c r="G55" s="957"/>
      <c r="H55" s="259">
        <v>-1</v>
      </c>
      <c r="I55" s="259">
        <v>-1</v>
      </c>
      <c r="J55" s="259">
        <v>-1</v>
      </c>
      <c r="K55" s="259">
        <v>-1</v>
      </c>
      <c r="L55" s="259">
        <v>-1</v>
      </c>
      <c r="M55" s="259">
        <v>-1</v>
      </c>
      <c r="N55" s="259">
        <v>-1</v>
      </c>
      <c r="O55" s="259">
        <v>-1</v>
      </c>
      <c r="P55" s="260" t="s">
        <v>643</v>
      </c>
      <c r="Q55" s="276"/>
      <c r="R55" s="276"/>
      <c r="S55" s="945" t="s">
        <v>104</v>
      </c>
      <c r="T55" s="946"/>
      <c r="U55" s="316" t="s">
        <v>105</v>
      </c>
      <c r="V55" s="318" t="s">
        <v>106</v>
      </c>
      <c r="W55" s="304"/>
    </row>
    <row r="56" spans="1:23" x14ac:dyDescent="0.25">
      <c r="A56" s="276"/>
      <c r="B56" s="61" t="s">
        <v>107</v>
      </c>
      <c r="C56" s="62">
        <v>-0.25</v>
      </c>
      <c r="D56" s="286"/>
      <c r="E56" s="287"/>
      <c r="F56" s="929" t="s">
        <v>108</v>
      </c>
      <c r="G56" s="930"/>
      <c r="H56" s="129">
        <v>-2</v>
      </c>
      <c r="I56" s="129">
        <v>-2</v>
      </c>
      <c r="J56" s="129">
        <v>-2</v>
      </c>
      <c r="K56" s="129">
        <v>-2</v>
      </c>
      <c r="L56" s="129">
        <v>-2</v>
      </c>
      <c r="M56" s="129">
        <v>-2</v>
      </c>
      <c r="N56" s="129">
        <v>-2</v>
      </c>
      <c r="O56" s="129">
        <v>-2</v>
      </c>
      <c r="P56" s="45" t="s">
        <v>643</v>
      </c>
      <c r="Q56" s="276"/>
      <c r="R56" s="276"/>
      <c r="S56" s="65" t="s">
        <v>109</v>
      </c>
      <c r="T56" s="66">
        <v>102</v>
      </c>
      <c r="U56" s="67" t="s">
        <v>110</v>
      </c>
      <c r="V56" s="68" t="s">
        <v>111</v>
      </c>
      <c r="W56" s="304"/>
    </row>
    <row r="57" spans="1:23" x14ac:dyDescent="0.25">
      <c r="A57" s="276"/>
      <c r="B57" s="61" t="s">
        <v>112</v>
      </c>
      <c r="C57" s="62">
        <v>-0.5</v>
      </c>
      <c r="D57" s="288"/>
      <c r="E57" s="276"/>
      <c r="F57" s="929" t="s">
        <v>113</v>
      </c>
      <c r="G57" s="930"/>
      <c r="H57" s="129">
        <v>-1</v>
      </c>
      <c r="I57" s="129">
        <v>-1</v>
      </c>
      <c r="J57" s="129">
        <v>-1</v>
      </c>
      <c r="K57" s="129">
        <v>-1</v>
      </c>
      <c r="L57" s="129">
        <v>-1</v>
      </c>
      <c r="M57" s="129">
        <v>-1</v>
      </c>
      <c r="N57" s="129">
        <v>-1</v>
      </c>
      <c r="O57" s="129">
        <v>-1</v>
      </c>
      <c r="P57" s="45" t="s">
        <v>643</v>
      </c>
      <c r="Q57" s="291"/>
      <c r="R57" s="276"/>
      <c r="S57" s="65" t="s">
        <v>91</v>
      </c>
      <c r="T57" s="71">
        <v>101</v>
      </c>
      <c r="U57" s="67" t="s">
        <v>114</v>
      </c>
      <c r="V57" s="68" t="s">
        <v>115</v>
      </c>
      <c r="W57" s="304"/>
    </row>
    <row r="58" spans="1:23" x14ac:dyDescent="0.25">
      <c r="A58" s="276"/>
      <c r="B58" s="940" t="s">
        <v>116</v>
      </c>
      <c r="C58" s="942"/>
      <c r="D58" s="289"/>
      <c r="E58" s="276"/>
      <c r="F58" s="929" t="s">
        <v>117</v>
      </c>
      <c r="G58" s="930"/>
      <c r="H58" s="129">
        <v>-0.5</v>
      </c>
      <c r="I58" s="129">
        <v>-0.5</v>
      </c>
      <c r="J58" s="129">
        <v>-0.5</v>
      </c>
      <c r="K58" s="129">
        <v>-0.5</v>
      </c>
      <c r="L58" s="129">
        <v>-0.5</v>
      </c>
      <c r="M58" s="129">
        <v>-0.5</v>
      </c>
      <c r="N58" s="129">
        <v>-0.5</v>
      </c>
      <c r="O58" s="129">
        <v>-0.5</v>
      </c>
      <c r="P58" s="45" t="s">
        <v>643</v>
      </c>
      <c r="Q58" s="291"/>
      <c r="R58" s="282"/>
      <c r="S58" s="65" t="s">
        <v>118</v>
      </c>
      <c r="T58" s="71">
        <v>101</v>
      </c>
      <c r="U58" s="67" t="s">
        <v>119</v>
      </c>
      <c r="V58" s="68" t="s">
        <v>120</v>
      </c>
      <c r="W58" s="304"/>
    </row>
    <row r="59" spans="1:23" x14ac:dyDescent="0.25">
      <c r="A59" s="276"/>
      <c r="B59" s="953" t="s">
        <v>121</v>
      </c>
      <c r="C59" s="954"/>
      <c r="D59" s="287"/>
      <c r="E59" s="276"/>
      <c r="F59" s="929" t="s">
        <v>122</v>
      </c>
      <c r="G59" s="930"/>
      <c r="H59" s="129">
        <v>0.25</v>
      </c>
      <c r="I59" s="129">
        <v>0.25</v>
      </c>
      <c r="J59" s="129">
        <v>0.25</v>
      </c>
      <c r="K59" s="129">
        <v>0.25</v>
      </c>
      <c r="L59" s="129">
        <v>0.25</v>
      </c>
      <c r="M59" s="129">
        <v>0.25</v>
      </c>
      <c r="N59" s="129">
        <v>0.25</v>
      </c>
      <c r="O59" s="129">
        <v>0.25</v>
      </c>
      <c r="P59" s="45" t="s">
        <v>643</v>
      </c>
      <c r="Q59" s="291"/>
      <c r="R59" s="282"/>
      <c r="S59" s="65" t="s">
        <v>123</v>
      </c>
      <c r="T59" s="71">
        <v>101</v>
      </c>
      <c r="U59" s="67" t="s">
        <v>124</v>
      </c>
      <c r="V59" s="73" t="s">
        <v>125</v>
      </c>
      <c r="W59" s="304"/>
    </row>
    <row r="60" spans="1:23" ht="15" customHeight="1" x14ac:dyDescent="0.25">
      <c r="A60" s="276"/>
      <c r="B60" s="741"/>
      <c r="C60" s="955"/>
      <c r="D60" s="287"/>
      <c r="E60" s="276"/>
      <c r="F60" s="929" t="s">
        <v>126</v>
      </c>
      <c r="G60" s="930"/>
      <c r="H60" s="129">
        <v>0.375</v>
      </c>
      <c r="I60" s="129">
        <v>0.375</v>
      </c>
      <c r="J60" s="129">
        <v>0.375</v>
      </c>
      <c r="K60" s="129">
        <v>0.375</v>
      </c>
      <c r="L60" s="129">
        <v>0.375</v>
      </c>
      <c r="M60" s="129">
        <v>0.375</v>
      </c>
      <c r="N60" s="129">
        <v>0.375</v>
      </c>
      <c r="O60" s="129">
        <v>0.375</v>
      </c>
      <c r="P60" s="45" t="s">
        <v>643</v>
      </c>
      <c r="Q60" s="276"/>
      <c r="R60" s="276"/>
      <c r="S60" s="65" t="s">
        <v>127</v>
      </c>
      <c r="T60" s="71">
        <v>100</v>
      </c>
      <c r="U60" s="67" t="s">
        <v>128</v>
      </c>
      <c r="V60" s="73" t="s">
        <v>129</v>
      </c>
      <c r="W60" s="304"/>
    </row>
    <row r="61" spans="1:23" ht="15" customHeight="1" x14ac:dyDescent="0.25">
      <c r="A61" s="276"/>
      <c r="B61" s="741"/>
      <c r="C61" s="955"/>
      <c r="D61" s="290"/>
      <c r="E61" s="276"/>
      <c r="F61" s="929" t="s">
        <v>130</v>
      </c>
      <c r="G61" s="930"/>
      <c r="H61" s="129">
        <v>0.625</v>
      </c>
      <c r="I61" s="129">
        <v>0.625</v>
      </c>
      <c r="J61" s="129">
        <v>0.625</v>
      </c>
      <c r="K61" s="129">
        <v>0.625</v>
      </c>
      <c r="L61" s="129">
        <v>0.625</v>
      </c>
      <c r="M61" s="129">
        <v>0.625</v>
      </c>
      <c r="N61" s="129">
        <v>0.625</v>
      </c>
      <c r="O61" s="129">
        <v>0.625</v>
      </c>
      <c r="P61" s="45" t="s">
        <v>643</v>
      </c>
      <c r="Q61" s="276"/>
      <c r="R61" s="276"/>
      <c r="S61" s="940" t="s">
        <v>135</v>
      </c>
      <c r="T61" s="949"/>
      <c r="U61" s="67" t="s">
        <v>120</v>
      </c>
      <c r="V61" s="75">
        <v>4</v>
      </c>
      <c r="W61" s="304"/>
    </row>
    <row r="62" spans="1:23" x14ac:dyDescent="0.25">
      <c r="A62" s="276"/>
      <c r="B62" s="741"/>
      <c r="C62" s="955"/>
      <c r="D62" s="291"/>
      <c r="E62" s="276"/>
      <c r="F62" s="929" t="s">
        <v>132</v>
      </c>
      <c r="G62" s="930"/>
      <c r="H62" s="129">
        <v>-1</v>
      </c>
      <c r="I62" s="129">
        <v>-1</v>
      </c>
      <c r="J62" s="129">
        <v>-1</v>
      </c>
      <c r="K62" s="129">
        <v>-1</v>
      </c>
      <c r="L62" s="129">
        <v>-1</v>
      </c>
      <c r="M62" s="129">
        <v>-1</v>
      </c>
      <c r="N62" s="129">
        <v>-1</v>
      </c>
      <c r="O62" s="129">
        <v>-1</v>
      </c>
      <c r="P62" s="45" t="s">
        <v>643</v>
      </c>
      <c r="Q62" s="276"/>
      <c r="R62" s="282"/>
      <c r="S62" s="65" t="s">
        <v>138</v>
      </c>
      <c r="T62" s="76">
        <v>99.75</v>
      </c>
      <c r="U62" s="325" t="s">
        <v>105</v>
      </c>
      <c r="V62" s="326" t="s">
        <v>102</v>
      </c>
      <c r="W62" s="304"/>
    </row>
    <row r="63" spans="1:23" ht="15" customHeight="1" x14ac:dyDescent="0.25">
      <c r="A63" s="276"/>
      <c r="B63" s="741"/>
      <c r="C63" s="955"/>
      <c r="D63" s="291"/>
      <c r="E63" s="276"/>
      <c r="F63" s="929" t="s">
        <v>134</v>
      </c>
      <c r="G63" s="930"/>
      <c r="H63" s="129">
        <v>-0.5</v>
      </c>
      <c r="I63" s="129">
        <v>-0.5</v>
      </c>
      <c r="J63" s="129">
        <v>-0.5</v>
      </c>
      <c r="K63" s="129">
        <v>-0.5</v>
      </c>
      <c r="L63" s="129">
        <v>-0.5</v>
      </c>
      <c r="M63" s="129">
        <v>-0.5</v>
      </c>
      <c r="N63" s="129">
        <v>-0.5</v>
      </c>
      <c r="O63" s="129">
        <v>-0.5</v>
      </c>
      <c r="P63" s="45" t="s">
        <v>643</v>
      </c>
      <c r="Q63" s="301"/>
      <c r="R63" s="282"/>
      <c r="S63" s="940" t="s">
        <v>140</v>
      </c>
      <c r="T63" s="949"/>
      <c r="U63" s="80" t="s">
        <v>136</v>
      </c>
      <c r="V63" s="81">
        <v>0.25</v>
      </c>
      <c r="W63" s="304"/>
    </row>
    <row r="64" spans="1:23" x14ac:dyDescent="0.25">
      <c r="A64" s="276"/>
      <c r="B64" s="741"/>
      <c r="C64" s="955"/>
      <c r="D64" s="287"/>
      <c r="E64" s="276"/>
      <c r="F64" s="929" t="s">
        <v>137</v>
      </c>
      <c r="G64" s="930"/>
      <c r="H64" s="129">
        <v>0.375</v>
      </c>
      <c r="I64" s="129">
        <v>0.375</v>
      </c>
      <c r="J64" s="129">
        <v>0.375</v>
      </c>
      <c r="K64" s="129">
        <v>0.375</v>
      </c>
      <c r="L64" s="129">
        <v>0.375</v>
      </c>
      <c r="M64" s="129">
        <v>0.375</v>
      </c>
      <c r="N64" s="129">
        <v>0.375</v>
      </c>
      <c r="O64" s="129">
        <v>0.375</v>
      </c>
      <c r="P64" s="45" t="s">
        <v>643</v>
      </c>
      <c r="Q64" s="302"/>
      <c r="R64" s="282"/>
      <c r="S64" s="83" t="s">
        <v>91</v>
      </c>
      <c r="T64" s="84">
        <v>6.75</v>
      </c>
      <c r="U64" s="80" t="s">
        <v>54</v>
      </c>
      <c r="V64" s="81">
        <v>0</v>
      </c>
      <c r="W64" s="304"/>
    </row>
    <row r="65" spans="1:34" x14ac:dyDescent="0.25">
      <c r="A65" s="276"/>
      <c r="B65" s="741"/>
      <c r="C65" s="955"/>
      <c r="D65" s="287"/>
      <c r="E65" s="276"/>
      <c r="F65" s="929" t="s">
        <v>139</v>
      </c>
      <c r="G65" s="930"/>
      <c r="H65" s="129">
        <v>0.5</v>
      </c>
      <c r="I65" s="129">
        <v>0.5</v>
      </c>
      <c r="J65" s="129">
        <v>0.5</v>
      </c>
      <c r="K65" s="129">
        <v>0.5</v>
      </c>
      <c r="L65" s="129">
        <v>0.5</v>
      </c>
      <c r="M65" s="129">
        <v>0.5</v>
      </c>
      <c r="N65" s="129">
        <v>0.5</v>
      </c>
      <c r="O65" s="129">
        <v>0.5</v>
      </c>
      <c r="P65" s="45" t="s">
        <v>643</v>
      </c>
      <c r="Q65" s="300"/>
      <c r="R65" s="276"/>
      <c r="S65" s="83" t="s">
        <v>123</v>
      </c>
      <c r="T65" s="84">
        <v>7.4989999999999997</v>
      </c>
      <c r="U65" s="80" t="s">
        <v>141</v>
      </c>
      <c r="V65" s="81">
        <v>-0.5</v>
      </c>
      <c r="W65" s="304"/>
    </row>
    <row r="66" spans="1:34" ht="15.75" customHeight="1" thickBot="1" x14ac:dyDescent="0.3">
      <c r="A66" s="276"/>
      <c r="B66" s="741"/>
      <c r="C66" s="955"/>
      <c r="D66" s="292"/>
      <c r="E66" s="276"/>
      <c r="F66" s="947" t="s">
        <v>142</v>
      </c>
      <c r="G66" s="948"/>
      <c r="H66" s="150">
        <v>0.875</v>
      </c>
      <c r="I66" s="150">
        <v>0.875</v>
      </c>
      <c r="J66" s="150">
        <v>0.875</v>
      </c>
      <c r="K66" s="150">
        <v>0.875</v>
      </c>
      <c r="L66" s="150">
        <v>0.875</v>
      </c>
      <c r="M66" s="150">
        <v>0.875</v>
      </c>
      <c r="N66" s="150">
        <v>0.875</v>
      </c>
      <c r="O66" s="150">
        <v>0.875</v>
      </c>
      <c r="P66" s="261" t="s">
        <v>643</v>
      </c>
      <c r="Q66" s="300"/>
      <c r="R66" s="276"/>
      <c r="S66" s="940" t="s">
        <v>147</v>
      </c>
      <c r="T66" s="949"/>
      <c r="U66" s="86" t="s">
        <v>143</v>
      </c>
      <c r="V66" s="81">
        <v>0</v>
      </c>
      <c r="W66" s="276"/>
    </row>
    <row r="67" spans="1:34" ht="15.75" customHeight="1" x14ac:dyDescent="0.25">
      <c r="A67" s="276"/>
      <c r="B67" s="741"/>
      <c r="C67" s="955"/>
      <c r="D67" s="293"/>
      <c r="E67" s="276"/>
      <c r="F67" s="950" t="s">
        <v>144</v>
      </c>
      <c r="G67" s="951"/>
      <c r="H67" s="951"/>
      <c r="I67" s="951"/>
      <c r="J67" s="951"/>
      <c r="K67" s="951"/>
      <c r="L67" s="951"/>
      <c r="M67" s="951"/>
      <c r="N67" s="951"/>
      <c r="O67" s="951"/>
      <c r="P67" s="952"/>
      <c r="Q67" s="300"/>
      <c r="R67" s="276"/>
      <c r="S67" s="687" t="s">
        <v>150</v>
      </c>
      <c r="T67" s="688"/>
      <c r="U67" s="80" t="s">
        <v>145</v>
      </c>
      <c r="V67" s="81">
        <v>-0.5</v>
      </c>
      <c r="W67" s="276"/>
      <c r="Y67" s="3"/>
    </row>
    <row r="68" spans="1:34" x14ac:dyDescent="0.25">
      <c r="A68" s="276"/>
      <c r="B68" s="741"/>
      <c r="C68" s="955"/>
      <c r="D68" s="287"/>
      <c r="E68" s="276"/>
      <c r="F68" s="929" t="s">
        <v>146</v>
      </c>
      <c r="G68" s="930"/>
      <c r="H68" s="44">
        <v>-0.25</v>
      </c>
      <c r="I68" s="44">
        <v>-0.25</v>
      </c>
      <c r="J68" s="44">
        <v>-0.25</v>
      </c>
      <c r="K68" s="44">
        <v>-0.375</v>
      </c>
      <c r="L68" s="44">
        <v>-0.5</v>
      </c>
      <c r="M68" s="44">
        <v>-0.5</v>
      </c>
      <c r="N68" s="44">
        <v>-0.5</v>
      </c>
      <c r="O68" s="44" t="s">
        <v>643</v>
      </c>
      <c r="P68" s="45" t="s">
        <v>643</v>
      </c>
      <c r="Q68" s="276"/>
      <c r="R68" s="276"/>
      <c r="S68" s="687" t="s">
        <v>153</v>
      </c>
      <c r="T68" s="688"/>
      <c r="U68" s="80" t="s">
        <v>148</v>
      </c>
      <c r="V68" s="81">
        <v>0</v>
      </c>
      <c r="W68" s="276"/>
      <c r="Y68" s="3"/>
      <c r="AD68" s="3"/>
      <c r="AE68" s="3"/>
      <c r="AF68" s="3"/>
      <c r="AG68" s="3"/>
      <c r="AH68" s="3"/>
    </row>
    <row r="69" spans="1:34" x14ac:dyDescent="0.25">
      <c r="A69" s="276"/>
      <c r="B69" s="741"/>
      <c r="C69" s="955"/>
      <c r="D69" s="292"/>
      <c r="E69" s="276"/>
      <c r="F69" s="929" t="s">
        <v>149</v>
      </c>
      <c r="G69" s="930"/>
      <c r="H69" s="44">
        <v>-0.25</v>
      </c>
      <c r="I69" s="44">
        <v>-0.25</v>
      </c>
      <c r="J69" s="44">
        <v>-0.5</v>
      </c>
      <c r="K69" s="44">
        <v>-0.5</v>
      </c>
      <c r="L69" s="44">
        <v>-0.75</v>
      </c>
      <c r="M69" s="44">
        <v>-0.75</v>
      </c>
      <c r="N69" s="44">
        <v>-0.75</v>
      </c>
      <c r="O69" s="44">
        <v>-1.25</v>
      </c>
      <c r="P69" s="45" t="s">
        <v>643</v>
      </c>
      <c r="Q69" s="276"/>
      <c r="R69" s="276"/>
      <c r="S69" s="687" t="s">
        <v>156</v>
      </c>
      <c r="T69" s="688"/>
      <c r="U69" s="80" t="s">
        <v>151</v>
      </c>
      <c r="V69" s="81">
        <v>-0.5</v>
      </c>
      <c r="W69" s="276"/>
      <c r="X69" s="3"/>
      <c r="Y69" s="3"/>
      <c r="AD69" s="3"/>
      <c r="AE69" s="3"/>
      <c r="AF69" s="3"/>
      <c r="AG69" s="3"/>
      <c r="AH69" s="3"/>
    </row>
    <row r="70" spans="1:34" ht="15.75" customHeight="1" x14ac:dyDescent="0.25">
      <c r="A70" s="276"/>
      <c r="B70" s="741"/>
      <c r="C70" s="955"/>
      <c r="D70" s="294"/>
      <c r="E70" s="276"/>
      <c r="F70" s="929" t="s">
        <v>152</v>
      </c>
      <c r="G70" s="930"/>
      <c r="H70" s="44">
        <v>-0.25</v>
      </c>
      <c r="I70" s="44">
        <v>-0.25</v>
      </c>
      <c r="J70" s="44">
        <v>-0.25</v>
      </c>
      <c r="K70" s="44">
        <v>-0.25</v>
      </c>
      <c r="L70" s="44">
        <v>-0.25</v>
      </c>
      <c r="M70" s="44">
        <v>-0.25</v>
      </c>
      <c r="N70" s="44">
        <v>-0.5</v>
      </c>
      <c r="O70" s="44">
        <v>-0.5</v>
      </c>
      <c r="P70" s="45">
        <v>-0.5</v>
      </c>
      <c r="Q70" s="276"/>
      <c r="R70" s="276"/>
      <c r="S70" s="687" t="s">
        <v>159</v>
      </c>
      <c r="T70" s="688"/>
      <c r="U70" s="327"/>
      <c r="V70" s="328"/>
      <c r="W70" s="276"/>
      <c r="X70" s="3"/>
      <c r="Y70" s="3"/>
      <c r="AD70" s="3"/>
      <c r="AE70" s="3"/>
      <c r="AF70" s="3"/>
      <c r="AG70" s="3"/>
      <c r="AH70" s="3"/>
    </row>
    <row r="71" spans="1:34" ht="15" customHeight="1" x14ac:dyDescent="0.25">
      <c r="A71" s="276"/>
      <c r="B71" s="945" t="s">
        <v>154</v>
      </c>
      <c r="C71" s="946"/>
      <c r="D71" s="295"/>
      <c r="E71" s="276"/>
      <c r="F71" s="929" t="s">
        <v>155</v>
      </c>
      <c r="G71" s="930"/>
      <c r="H71" s="44">
        <v>0</v>
      </c>
      <c r="I71" s="44">
        <v>0</v>
      </c>
      <c r="J71" s="44">
        <v>-0.25</v>
      </c>
      <c r="K71" s="44">
        <v>-0.25</v>
      </c>
      <c r="L71" s="44">
        <v>-0.25</v>
      </c>
      <c r="M71" s="44">
        <v>-0.25</v>
      </c>
      <c r="N71" s="44">
        <v>-0.25</v>
      </c>
      <c r="O71" s="44">
        <v>-0.5</v>
      </c>
      <c r="P71" s="45" t="s">
        <v>643</v>
      </c>
      <c r="Q71" s="276"/>
      <c r="R71" s="276"/>
      <c r="S71" s="687" t="s">
        <v>162</v>
      </c>
      <c r="T71" s="688"/>
      <c r="U71" s="327"/>
      <c r="V71" s="328"/>
      <c r="W71" s="276"/>
      <c r="X71" s="3"/>
      <c r="Y71" s="3"/>
      <c r="AD71" s="3"/>
      <c r="AE71" s="3"/>
      <c r="AF71" s="3"/>
      <c r="AG71" s="3"/>
      <c r="AH71" s="3"/>
    </row>
    <row r="72" spans="1:34" ht="17.25" customHeight="1" x14ac:dyDescent="0.25">
      <c r="A72" s="276"/>
      <c r="B72" s="943" t="s">
        <v>157</v>
      </c>
      <c r="C72" s="944"/>
      <c r="D72" s="295"/>
      <c r="E72" s="276"/>
      <c r="F72" s="929" t="s">
        <v>158</v>
      </c>
      <c r="G72" s="930"/>
      <c r="H72" s="44">
        <v>-1.5</v>
      </c>
      <c r="I72" s="44">
        <v>-1.5</v>
      </c>
      <c r="J72" s="44">
        <v>-1.5</v>
      </c>
      <c r="K72" s="44">
        <v>-1.5</v>
      </c>
      <c r="L72" s="44">
        <v>-1.5</v>
      </c>
      <c r="M72" s="44">
        <v>-2</v>
      </c>
      <c r="N72" s="44">
        <v>-2.25</v>
      </c>
      <c r="O72" s="44">
        <v>-2.25</v>
      </c>
      <c r="P72" s="45" t="s">
        <v>643</v>
      </c>
      <c r="Q72" s="276"/>
      <c r="R72" s="276"/>
      <c r="S72" s="940" t="s">
        <v>164</v>
      </c>
      <c r="T72" s="941"/>
      <c r="U72" s="327"/>
      <c r="V72" s="328"/>
      <c r="W72" s="276"/>
      <c r="X72" s="3"/>
      <c r="Y72" s="3"/>
      <c r="AD72" s="3"/>
      <c r="AE72" s="3"/>
      <c r="AF72" s="3"/>
      <c r="AG72" s="3"/>
      <c r="AH72" s="3"/>
    </row>
    <row r="73" spans="1:34" ht="15" customHeight="1" x14ac:dyDescent="0.25">
      <c r="A73" s="276"/>
      <c r="B73" s="931" t="s">
        <v>160</v>
      </c>
      <c r="C73" s="932"/>
      <c r="D73" s="295"/>
      <c r="E73" s="282"/>
      <c r="F73" s="929" t="s">
        <v>161</v>
      </c>
      <c r="G73" s="930"/>
      <c r="H73" s="44">
        <v>-1.5</v>
      </c>
      <c r="I73" s="44">
        <v>-1.5</v>
      </c>
      <c r="J73" s="44">
        <v>-1.5</v>
      </c>
      <c r="K73" s="44">
        <v>-1.5</v>
      </c>
      <c r="L73" s="44">
        <v>-1.5</v>
      </c>
      <c r="M73" s="44">
        <v>-1.75</v>
      </c>
      <c r="N73" s="44" t="s">
        <v>643</v>
      </c>
      <c r="O73" s="44" t="s">
        <v>643</v>
      </c>
      <c r="P73" s="45" t="s">
        <v>643</v>
      </c>
      <c r="Q73" s="276"/>
      <c r="R73" s="276"/>
      <c r="S73" s="687" t="s">
        <v>165</v>
      </c>
      <c r="T73" s="688"/>
      <c r="U73" s="329"/>
      <c r="V73" s="330"/>
      <c r="W73" s="276"/>
      <c r="X73" s="3"/>
      <c r="Y73" s="3"/>
      <c r="AD73" s="3"/>
      <c r="AE73" s="3"/>
      <c r="AF73" s="3"/>
      <c r="AG73" s="3"/>
      <c r="AH73" s="3"/>
    </row>
    <row r="74" spans="1:34" ht="15" customHeight="1" x14ac:dyDescent="0.25">
      <c r="A74" s="276"/>
      <c r="B74" s="715" t="s">
        <v>163</v>
      </c>
      <c r="C74" s="715"/>
      <c r="D74" s="295"/>
      <c r="E74" s="282"/>
      <c r="F74" s="929" t="s">
        <v>70</v>
      </c>
      <c r="G74" s="930"/>
      <c r="H74" s="44">
        <v>-0.5</v>
      </c>
      <c r="I74" s="44">
        <v>-0.5</v>
      </c>
      <c r="J74" s="44">
        <v>-0.5</v>
      </c>
      <c r="K74" s="44">
        <v>-0.5</v>
      </c>
      <c r="L74" s="44">
        <v>-0.5</v>
      </c>
      <c r="M74" s="44">
        <v>-0.5</v>
      </c>
      <c r="N74" s="44">
        <v>-0.5</v>
      </c>
      <c r="O74" s="44">
        <v>-0.5</v>
      </c>
      <c r="P74" s="45">
        <v>-0.5</v>
      </c>
      <c r="Q74" s="276"/>
      <c r="R74" s="276"/>
      <c r="S74" s="687" t="s">
        <v>166</v>
      </c>
      <c r="T74" s="688"/>
      <c r="U74" s="329"/>
      <c r="V74" s="330"/>
      <c r="W74" s="276"/>
      <c r="X74" s="3"/>
      <c r="Y74" s="3"/>
      <c r="AD74" s="3"/>
      <c r="AE74" s="3"/>
      <c r="AF74" s="3"/>
      <c r="AG74" s="3"/>
      <c r="AH74" s="3"/>
    </row>
    <row r="75" spans="1:34" ht="15" customHeight="1" x14ac:dyDescent="0.25">
      <c r="A75" s="276"/>
      <c r="B75" s="715"/>
      <c r="C75" s="715"/>
      <c r="D75" s="295"/>
      <c r="E75" s="282"/>
      <c r="F75" s="940" t="s">
        <v>34</v>
      </c>
      <c r="G75" s="941"/>
      <c r="H75" s="941"/>
      <c r="I75" s="941"/>
      <c r="J75" s="941"/>
      <c r="K75" s="941"/>
      <c r="L75" s="941"/>
      <c r="M75" s="941"/>
      <c r="N75" s="941"/>
      <c r="O75" s="941"/>
      <c r="P75" s="942"/>
      <c r="Q75" s="276"/>
      <c r="R75" s="276"/>
      <c r="S75" s="711" t="s">
        <v>168</v>
      </c>
      <c r="T75" s="712"/>
      <c r="U75" s="329"/>
      <c r="V75" s="330"/>
      <c r="W75" s="276"/>
      <c r="X75" s="3"/>
      <c r="Y75" s="3"/>
      <c r="AD75" s="3"/>
      <c r="AE75" s="3"/>
      <c r="AF75" s="3"/>
      <c r="AG75" s="3"/>
      <c r="AH75" s="3"/>
    </row>
    <row r="76" spans="1:34" ht="15" customHeight="1" x14ac:dyDescent="0.25">
      <c r="A76" s="276"/>
      <c r="B76" s="715"/>
      <c r="C76" s="715"/>
      <c r="D76" s="295"/>
      <c r="E76" s="282"/>
      <c r="F76" s="929" t="s">
        <v>35</v>
      </c>
      <c r="G76" s="930"/>
      <c r="H76" s="44">
        <v>0</v>
      </c>
      <c r="I76" s="44">
        <v>0</v>
      </c>
      <c r="J76" s="44">
        <v>0</v>
      </c>
      <c r="K76" s="44">
        <v>0</v>
      </c>
      <c r="L76" s="44">
        <v>0</v>
      </c>
      <c r="M76" s="44">
        <v>0</v>
      </c>
      <c r="N76" s="44">
        <v>0</v>
      </c>
      <c r="O76" s="44">
        <v>0</v>
      </c>
      <c r="P76" s="45">
        <v>0</v>
      </c>
      <c r="Q76" s="276"/>
      <c r="R76" s="276"/>
      <c r="S76" s="327"/>
      <c r="T76" s="329"/>
      <c r="U76" s="329"/>
      <c r="V76" s="329"/>
      <c r="W76" s="276"/>
      <c r="X76" s="3"/>
      <c r="Y76" s="3"/>
      <c r="AD76" s="3"/>
      <c r="AE76" s="3"/>
      <c r="AF76" s="3"/>
      <c r="AG76" s="3"/>
      <c r="AH76" s="3"/>
    </row>
    <row r="77" spans="1:34" ht="15" customHeight="1" thickBot="1" x14ac:dyDescent="0.3">
      <c r="A77" s="276"/>
      <c r="B77" s="715"/>
      <c r="C77" s="715"/>
      <c r="D77" s="295"/>
      <c r="E77" s="282"/>
      <c r="F77" s="929" t="s">
        <v>167</v>
      </c>
      <c r="G77" s="930"/>
      <c r="H77" s="44">
        <v>-1.25</v>
      </c>
      <c r="I77" s="44">
        <v>-1.25</v>
      </c>
      <c r="J77" s="44">
        <v>-1.25</v>
      </c>
      <c r="K77" s="44">
        <v>-1.25</v>
      </c>
      <c r="L77" s="44">
        <v>-1.25</v>
      </c>
      <c r="M77" s="44">
        <v>-1.25</v>
      </c>
      <c r="N77" s="44">
        <v>-1.5</v>
      </c>
      <c r="O77" s="44">
        <v>-2</v>
      </c>
      <c r="P77" s="45" t="s">
        <v>643</v>
      </c>
      <c r="Q77" s="276"/>
      <c r="R77" s="276"/>
      <c r="S77" s="333"/>
      <c r="T77" s="331"/>
      <c r="U77" s="331"/>
      <c r="V77" s="332"/>
      <c r="W77" s="276"/>
      <c r="X77" s="3"/>
      <c r="Y77" s="3"/>
      <c r="AD77" s="3"/>
      <c r="AE77" s="3"/>
      <c r="AF77" s="3"/>
      <c r="AG77" s="3"/>
      <c r="AH77" s="3"/>
    </row>
    <row r="78" spans="1:34" ht="15" customHeight="1" x14ac:dyDescent="0.25">
      <c r="A78" s="276"/>
      <c r="B78" s="715"/>
      <c r="C78" s="715"/>
      <c r="D78" s="295"/>
      <c r="E78" s="282"/>
      <c r="F78" s="929" t="s">
        <v>169</v>
      </c>
      <c r="G78" s="930"/>
      <c r="H78" s="44">
        <v>-1.75</v>
      </c>
      <c r="I78" s="44">
        <v>-1.75</v>
      </c>
      <c r="J78" s="44">
        <v>-1.75</v>
      </c>
      <c r="K78" s="44">
        <v>-1.75</v>
      </c>
      <c r="L78" s="44">
        <v>-1.75</v>
      </c>
      <c r="M78" s="44">
        <v>-2</v>
      </c>
      <c r="N78" s="44">
        <v>-2</v>
      </c>
      <c r="O78" s="44" t="s">
        <v>643</v>
      </c>
      <c r="P78" s="45" t="s">
        <v>643</v>
      </c>
      <c r="Q78" s="276"/>
      <c r="R78" s="276"/>
      <c r="S78" s="334"/>
      <c r="T78" s="329"/>
      <c r="U78" s="329"/>
      <c r="V78" s="330"/>
      <c r="W78" s="276"/>
      <c r="X78" s="3"/>
      <c r="Y78" s="3"/>
      <c r="AD78" s="3"/>
      <c r="AE78" s="3"/>
      <c r="AF78" s="3"/>
      <c r="AG78" s="3"/>
      <c r="AH78" s="3"/>
    </row>
    <row r="79" spans="1:34" ht="15" customHeight="1" x14ac:dyDescent="0.25">
      <c r="A79" s="276"/>
      <c r="B79" s="715"/>
      <c r="C79" s="715"/>
      <c r="D79" s="295"/>
      <c r="E79" s="282"/>
      <c r="F79" s="929" t="s">
        <v>170</v>
      </c>
      <c r="G79" s="930"/>
      <c r="H79" s="44">
        <v>-1.5</v>
      </c>
      <c r="I79" s="44">
        <v>-1.75</v>
      </c>
      <c r="J79" s="44">
        <v>-1.75</v>
      </c>
      <c r="K79" s="44">
        <v>-1.75</v>
      </c>
      <c r="L79" s="44">
        <v>-1.75</v>
      </c>
      <c r="M79" s="44">
        <v>-2</v>
      </c>
      <c r="N79" s="44">
        <v>-2</v>
      </c>
      <c r="O79" s="44" t="s">
        <v>643</v>
      </c>
      <c r="P79" s="45" t="s">
        <v>643</v>
      </c>
      <c r="Q79" s="276"/>
      <c r="R79" s="276"/>
      <c r="S79" s="334"/>
      <c r="T79" s="329"/>
      <c r="U79" s="329"/>
      <c r="V79" s="330"/>
      <c r="W79" s="276"/>
      <c r="AD79" s="3"/>
      <c r="AE79" s="3"/>
      <c r="AF79" s="3"/>
      <c r="AG79" s="3"/>
      <c r="AH79" s="3"/>
    </row>
    <row r="80" spans="1:34" ht="15" customHeight="1" x14ac:dyDescent="0.25">
      <c r="A80" s="276"/>
      <c r="B80" s="339"/>
      <c r="C80" s="328"/>
      <c r="D80" s="295"/>
      <c r="E80" s="282"/>
      <c r="F80" s="929" t="s">
        <v>171</v>
      </c>
      <c r="G80" s="930"/>
      <c r="H80" s="44">
        <v>0</v>
      </c>
      <c r="I80" s="44">
        <v>0</v>
      </c>
      <c r="J80" s="44">
        <v>0</v>
      </c>
      <c r="K80" s="44">
        <v>0</v>
      </c>
      <c r="L80" s="44">
        <v>0</v>
      </c>
      <c r="M80" s="44">
        <v>0</v>
      </c>
      <c r="N80" s="44">
        <v>0</v>
      </c>
      <c r="O80" s="44">
        <v>0</v>
      </c>
      <c r="P80" s="45">
        <v>0</v>
      </c>
      <c r="Q80" s="276"/>
      <c r="R80" s="276"/>
      <c r="S80" s="334"/>
      <c r="T80" s="329"/>
      <c r="U80" s="329"/>
      <c r="V80" s="330"/>
      <c r="W80" s="276"/>
    </row>
    <row r="81" spans="1:23" ht="15" customHeight="1" thickBot="1" x14ac:dyDescent="0.3">
      <c r="A81" s="276"/>
      <c r="B81" s="339"/>
      <c r="C81" s="328"/>
      <c r="D81" s="295"/>
      <c r="E81" s="282"/>
      <c r="F81" s="931" t="s">
        <v>37</v>
      </c>
      <c r="G81" s="932"/>
      <c r="H81" s="932"/>
      <c r="I81" s="932"/>
      <c r="J81" s="932"/>
      <c r="K81" s="932"/>
      <c r="L81" s="932"/>
      <c r="M81" s="932"/>
      <c r="N81" s="932"/>
      <c r="O81" s="932"/>
      <c r="P81" s="933"/>
      <c r="Q81" s="276"/>
      <c r="R81" s="276"/>
      <c r="S81" s="334"/>
      <c r="T81" s="329"/>
      <c r="U81" s="329"/>
      <c r="V81" s="330"/>
      <c r="W81" s="276"/>
    </row>
    <row r="82" spans="1:23" ht="15" customHeight="1" x14ac:dyDescent="0.25">
      <c r="A82" s="276"/>
      <c r="B82" s="339"/>
      <c r="C82" s="328"/>
      <c r="D82" s="295"/>
      <c r="E82" s="282"/>
      <c r="F82" s="934" t="s">
        <v>172</v>
      </c>
      <c r="G82" s="935"/>
      <c r="H82" s="262">
        <v>-1.5</v>
      </c>
      <c r="I82" s="262">
        <v>-1.5</v>
      </c>
      <c r="J82" s="262">
        <v>-2</v>
      </c>
      <c r="K82" s="262">
        <v>-2</v>
      </c>
      <c r="L82" s="262">
        <v>-2</v>
      </c>
      <c r="M82" s="262">
        <v>-2</v>
      </c>
      <c r="N82" s="262" t="s">
        <v>643</v>
      </c>
      <c r="O82" s="262" t="s">
        <v>643</v>
      </c>
      <c r="P82" s="260" t="s">
        <v>643</v>
      </c>
      <c r="Q82" s="276"/>
      <c r="R82" s="276"/>
      <c r="S82" s="334"/>
      <c r="T82" s="329"/>
      <c r="U82" s="329"/>
      <c r="V82" s="330"/>
      <c r="W82" s="276"/>
    </row>
    <row r="83" spans="1:23" ht="15" customHeight="1" x14ac:dyDescent="0.25">
      <c r="A83" s="276"/>
      <c r="B83" s="339"/>
      <c r="C83" s="328"/>
      <c r="D83" s="295"/>
      <c r="E83" s="282"/>
      <c r="F83" s="936" t="s">
        <v>173</v>
      </c>
      <c r="G83" s="937"/>
      <c r="H83" s="44">
        <v>-1</v>
      </c>
      <c r="I83" s="44">
        <v>-1</v>
      </c>
      <c r="J83" s="44">
        <v>-1</v>
      </c>
      <c r="K83" s="44">
        <v>-1.25</v>
      </c>
      <c r="L83" s="44">
        <v>-1.25</v>
      </c>
      <c r="M83" s="44">
        <v>-1.25</v>
      </c>
      <c r="N83" s="44">
        <v>-1.5</v>
      </c>
      <c r="O83" s="44" t="s">
        <v>643</v>
      </c>
      <c r="P83" s="45" t="s">
        <v>643</v>
      </c>
      <c r="Q83" s="276"/>
      <c r="R83" s="276"/>
      <c r="S83" s="334"/>
      <c r="T83" s="329"/>
      <c r="U83" s="329"/>
      <c r="V83" s="330"/>
      <c r="W83" s="276"/>
    </row>
    <row r="84" spans="1:23" ht="15" customHeight="1" x14ac:dyDescent="0.25">
      <c r="A84" s="276"/>
      <c r="B84" s="339"/>
      <c r="C84" s="328"/>
      <c r="D84" s="295"/>
      <c r="E84" s="282"/>
      <c r="F84" s="936" t="s">
        <v>174</v>
      </c>
      <c r="G84" s="937"/>
      <c r="H84" s="44">
        <v>-0.25</v>
      </c>
      <c r="I84" s="44">
        <v>-0.25</v>
      </c>
      <c r="J84" s="44">
        <v>-0.25</v>
      </c>
      <c r="K84" s="44">
        <v>-0.25</v>
      </c>
      <c r="L84" s="44">
        <v>-0.25</v>
      </c>
      <c r="M84" s="44">
        <v>-0.5</v>
      </c>
      <c r="N84" s="44">
        <v>-0.5</v>
      </c>
      <c r="O84" s="44">
        <v>-0.5</v>
      </c>
      <c r="P84" s="45">
        <v>-0.5</v>
      </c>
      <c r="Q84" s="276"/>
      <c r="R84" s="276"/>
      <c r="S84" s="334"/>
      <c r="T84" s="329"/>
      <c r="U84" s="329"/>
      <c r="V84" s="330"/>
      <c r="W84" s="276"/>
    </row>
    <row r="85" spans="1:23" ht="15" customHeight="1" thickBot="1" x14ac:dyDescent="0.3">
      <c r="A85" s="276"/>
      <c r="B85" s="339"/>
      <c r="C85" s="328"/>
      <c r="D85" s="295"/>
      <c r="E85" s="282"/>
      <c r="F85" s="938" t="s">
        <v>175</v>
      </c>
      <c r="G85" s="939"/>
      <c r="H85" s="91">
        <v>0</v>
      </c>
      <c r="I85" s="91">
        <v>0</v>
      </c>
      <c r="J85" s="91">
        <v>0</v>
      </c>
      <c r="K85" s="91">
        <v>0</v>
      </c>
      <c r="L85" s="91">
        <v>0</v>
      </c>
      <c r="M85" s="91">
        <v>0</v>
      </c>
      <c r="N85" s="91">
        <v>0</v>
      </c>
      <c r="O85" s="91">
        <v>0</v>
      </c>
      <c r="P85" s="92">
        <v>0</v>
      </c>
      <c r="Q85" s="276"/>
      <c r="R85" s="276"/>
      <c r="S85" s="334"/>
      <c r="T85" s="329"/>
      <c r="U85" s="329"/>
      <c r="V85" s="330"/>
      <c r="W85" s="276"/>
    </row>
    <row r="86" spans="1:23" ht="15" customHeight="1" x14ac:dyDescent="0.25">
      <c r="A86" s="276"/>
      <c r="B86" s="339"/>
      <c r="C86" s="328"/>
      <c r="D86" s="295"/>
      <c r="E86" s="282"/>
      <c r="F86" s="335"/>
      <c r="G86" s="336"/>
      <c r="H86" s="336"/>
      <c r="I86" s="336"/>
      <c r="J86" s="336"/>
      <c r="K86" s="336"/>
      <c r="L86" s="336"/>
      <c r="M86" s="336"/>
      <c r="N86" s="336"/>
      <c r="O86" s="336"/>
      <c r="P86" s="337"/>
      <c r="Q86" s="276"/>
      <c r="R86" s="276"/>
      <c r="S86" s="334"/>
      <c r="T86" s="329"/>
      <c r="U86" s="329"/>
      <c r="V86" s="330"/>
      <c r="W86" s="276"/>
    </row>
    <row r="87" spans="1:23" ht="15" customHeight="1" x14ac:dyDescent="0.25">
      <c r="A87" s="276"/>
      <c r="B87" s="339"/>
      <c r="C87" s="328"/>
      <c r="D87" s="295"/>
      <c r="E87" s="282"/>
      <c r="F87" s="334"/>
      <c r="G87" s="329"/>
      <c r="H87" s="329"/>
      <c r="I87" s="329"/>
      <c r="J87" s="329"/>
      <c r="K87" s="329"/>
      <c r="L87" s="329"/>
      <c r="M87" s="329"/>
      <c r="N87" s="329"/>
      <c r="O87" s="329"/>
      <c r="P87" s="330"/>
      <c r="Q87" s="276"/>
      <c r="R87" s="276"/>
      <c r="S87" s="334"/>
      <c r="T87" s="329"/>
      <c r="U87" s="329"/>
      <c r="V87" s="330"/>
      <c r="W87" s="276"/>
    </row>
    <row r="88" spans="1:23" ht="15" customHeight="1" x14ac:dyDescent="0.25">
      <c r="A88" s="276"/>
      <c r="B88" s="339"/>
      <c r="C88" s="328"/>
      <c r="D88" s="295"/>
      <c r="E88" s="282"/>
      <c r="F88" s="334"/>
      <c r="G88" s="329"/>
      <c r="H88" s="329"/>
      <c r="I88" s="329"/>
      <c r="J88" s="329"/>
      <c r="K88" s="329"/>
      <c r="L88" s="329"/>
      <c r="M88" s="329"/>
      <c r="N88" s="329"/>
      <c r="O88" s="329"/>
      <c r="P88" s="330"/>
      <c r="Q88" s="276"/>
      <c r="R88" s="276"/>
      <c r="S88" s="334"/>
      <c r="T88" s="329"/>
      <c r="U88" s="329"/>
      <c r="V88" s="330"/>
      <c r="W88" s="276"/>
    </row>
    <row r="89" spans="1:23" ht="15.75" thickBot="1" x14ac:dyDescent="0.3">
      <c r="A89" s="276"/>
      <c r="B89" s="339"/>
      <c r="C89" s="328"/>
      <c r="D89" s="295"/>
      <c r="E89" s="282"/>
      <c r="F89" s="338"/>
      <c r="G89" s="331"/>
      <c r="H89" s="331"/>
      <c r="I89" s="331"/>
      <c r="J89" s="331"/>
      <c r="K89" s="331"/>
      <c r="L89" s="331"/>
      <c r="M89" s="331"/>
      <c r="N89" s="331"/>
      <c r="O89" s="331"/>
      <c r="P89" s="332"/>
      <c r="Q89" s="276"/>
      <c r="R89" s="276"/>
      <c r="S89" s="334"/>
      <c r="T89" s="329"/>
      <c r="U89" s="329"/>
      <c r="V89" s="330"/>
      <c r="W89" s="276"/>
    </row>
    <row r="90" spans="1:23" x14ac:dyDescent="0.25">
      <c r="B90" s="3"/>
      <c r="C90" s="3"/>
      <c r="D90" s="3"/>
      <c r="E90" s="3"/>
      <c r="Q90" s="102"/>
    </row>
    <row r="91" spans="1:23" ht="15.75" x14ac:dyDescent="0.25">
      <c r="B91" s="109"/>
      <c r="C91" s="109"/>
      <c r="D91" s="109"/>
      <c r="E91" s="3"/>
      <c r="Q91" s="102"/>
      <c r="S91" s="3"/>
      <c r="T91" s="3"/>
    </row>
    <row r="92" spans="1:23" x14ac:dyDescent="0.25">
      <c r="B92" s="110"/>
      <c r="C92" s="110"/>
      <c r="D92" s="110"/>
      <c r="E92" s="3"/>
      <c r="Q92" s="110"/>
    </row>
    <row r="93" spans="1:23" x14ac:dyDescent="0.25">
      <c r="B93" s="110"/>
      <c r="C93" s="110"/>
      <c r="D93" s="110"/>
    </row>
    <row r="94" spans="1:23" ht="18.75" customHeight="1" x14ac:dyDescent="0.25">
      <c r="B94" s="110"/>
      <c r="C94" s="110"/>
      <c r="D94" s="110"/>
      <c r="E94" s="3"/>
    </row>
    <row r="95" spans="1:23" x14ac:dyDescent="0.25">
      <c r="B95" s="110"/>
      <c r="C95" s="110"/>
      <c r="D95" s="110"/>
      <c r="E95" s="3"/>
    </row>
    <row r="96" spans="1:23" ht="14.25" customHeight="1" x14ac:dyDescent="0.25">
      <c r="B96" s="110"/>
      <c r="C96" s="110"/>
      <c r="D96" s="110"/>
      <c r="E96" s="3"/>
      <c r="S96" s="3"/>
      <c r="T96" s="3"/>
    </row>
    <row r="97" spans="2:16" ht="15" customHeight="1" x14ac:dyDescent="0.25">
      <c r="B97" s="110"/>
      <c r="C97" s="110"/>
      <c r="D97" s="110"/>
      <c r="E97" s="3"/>
    </row>
    <row r="98" spans="2:16" ht="15" customHeight="1" x14ac:dyDescent="0.25">
      <c r="B98" s="110"/>
      <c r="C98" s="110"/>
      <c r="D98" s="110"/>
      <c r="E98" s="3"/>
    </row>
    <row r="99" spans="2:16" ht="14.25" customHeight="1" x14ac:dyDescent="0.25">
      <c r="B99" s="3"/>
      <c r="C99" s="3"/>
      <c r="D99" s="3"/>
      <c r="E99" s="3"/>
      <c r="F99" s="3"/>
      <c r="G99" s="103"/>
      <c r="H99" s="104"/>
      <c r="I99" s="104"/>
      <c r="J99" s="104"/>
      <c r="K99" s="104"/>
      <c r="L99" s="104"/>
      <c r="M99" s="104"/>
      <c r="N99" s="104"/>
      <c r="O99" s="104"/>
    </row>
    <row r="100" spans="2:16" ht="14.25" customHeight="1" x14ac:dyDescent="0.25">
      <c r="B100" s="3"/>
      <c r="C100" s="3"/>
      <c r="D100" s="3"/>
      <c r="E100" s="3"/>
      <c r="F100" s="3"/>
      <c r="G100" s="3"/>
      <c r="H100" s="103"/>
      <c r="I100" s="104"/>
      <c r="J100" s="104"/>
      <c r="K100" s="104"/>
      <c r="L100" s="104"/>
      <c r="M100" s="104"/>
      <c r="N100" s="104"/>
      <c r="O100" s="104"/>
      <c r="P100" s="104"/>
    </row>
    <row r="101" spans="2:16" ht="14.25" customHeight="1" x14ac:dyDescent="0.25">
      <c r="B101" s="111"/>
      <c r="C101" s="111"/>
      <c r="D101" s="3"/>
      <c r="E101" s="3"/>
      <c r="H101" s="104"/>
      <c r="I101" s="104"/>
      <c r="J101" s="104"/>
      <c r="K101" s="104"/>
      <c r="L101" s="104"/>
      <c r="M101" s="104"/>
      <c r="N101" s="104"/>
      <c r="O101" s="104"/>
      <c r="P101" s="104"/>
    </row>
    <row r="102" spans="2:16" ht="14.25" customHeight="1" x14ac:dyDescent="0.25">
      <c r="B102" s="105"/>
      <c r="C102" s="106"/>
      <c r="D102" s="3"/>
      <c r="E102" s="3"/>
      <c r="H102" s="104"/>
      <c r="I102" s="104"/>
      <c r="J102" s="104"/>
      <c r="K102" s="104"/>
      <c r="L102" s="104"/>
      <c r="M102" s="104"/>
      <c r="N102" s="104"/>
      <c r="O102" s="104"/>
      <c r="P102" s="104"/>
    </row>
    <row r="103" spans="2:16" ht="14.25" customHeight="1" x14ac:dyDescent="0.25">
      <c r="B103" s="105"/>
      <c r="C103" s="106"/>
      <c r="D103" s="3"/>
      <c r="E103" s="3"/>
      <c r="H103" s="104"/>
      <c r="I103" s="104"/>
      <c r="J103" s="104"/>
      <c r="K103" s="104"/>
      <c r="L103" s="104"/>
      <c r="M103" s="104"/>
      <c r="N103" s="104"/>
      <c r="O103" s="104"/>
      <c r="P103" s="104"/>
    </row>
    <row r="104" spans="2:16" ht="14.25" customHeight="1" x14ac:dyDescent="0.25">
      <c r="B104" s="105"/>
      <c r="C104" s="106"/>
      <c r="D104" s="3"/>
      <c r="E104" s="3"/>
      <c r="H104" s="104"/>
      <c r="I104" s="104"/>
      <c r="J104" s="104"/>
      <c r="K104" s="104"/>
      <c r="L104" s="104"/>
      <c r="M104" s="104"/>
      <c r="N104" s="104"/>
      <c r="O104" s="104"/>
      <c r="P104" s="104"/>
    </row>
    <row r="105" spans="2:16" ht="14.25" customHeight="1" x14ac:dyDescent="0.25">
      <c r="B105" s="105"/>
      <c r="C105" s="106"/>
      <c r="D105" s="3"/>
      <c r="E105" s="3"/>
      <c r="H105" s="104"/>
      <c r="I105" s="104"/>
      <c r="J105" s="104"/>
      <c r="K105" s="104"/>
      <c r="L105" s="104"/>
      <c r="M105" s="104"/>
      <c r="N105" s="104"/>
      <c r="O105" s="104"/>
      <c r="P105" s="104"/>
    </row>
    <row r="106" spans="2:16" ht="15" customHeight="1" x14ac:dyDescent="0.25">
      <c r="B106" s="105"/>
      <c r="C106" s="106"/>
      <c r="D106" s="3"/>
      <c r="E106" s="3"/>
      <c r="H106" s="104"/>
      <c r="I106" s="104"/>
      <c r="J106" s="104"/>
      <c r="K106" s="104"/>
      <c r="L106" s="104"/>
      <c r="M106" s="104"/>
      <c r="N106" s="104"/>
      <c r="O106" s="104"/>
      <c r="P106" s="104"/>
    </row>
    <row r="107" spans="2:16" x14ac:dyDescent="0.25">
      <c r="B107" s="105"/>
      <c r="C107" s="112"/>
      <c r="D107" s="3"/>
      <c r="E107" s="3"/>
      <c r="H107" s="104"/>
      <c r="I107" s="104"/>
      <c r="J107" s="104"/>
      <c r="K107" s="104"/>
      <c r="L107" s="104"/>
      <c r="M107" s="104"/>
      <c r="N107" s="104"/>
      <c r="O107" s="104"/>
      <c r="P107" s="104"/>
    </row>
    <row r="108" spans="2:16" x14ac:dyDescent="0.25">
      <c r="B108" s="111"/>
      <c r="C108" s="111"/>
      <c r="D108" s="3"/>
      <c r="E108" s="3"/>
      <c r="H108" s="104"/>
      <c r="I108" s="104"/>
      <c r="J108" s="104"/>
      <c r="K108" s="104"/>
      <c r="L108" s="104"/>
      <c r="M108" s="104"/>
      <c r="N108" s="104"/>
      <c r="O108" s="104"/>
      <c r="P108" s="104"/>
    </row>
    <row r="109" spans="2:16" x14ac:dyDescent="0.25">
      <c r="B109" s="105"/>
      <c r="C109" s="106"/>
      <c r="D109" s="3"/>
      <c r="E109" s="3"/>
      <c r="H109" s="104"/>
      <c r="I109" s="104"/>
      <c r="J109" s="104"/>
      <c r="K109" s="104"/>
      <c r="L109" s="104"/>
      <c r="M109" s="104"/>
      <c r="N109" s="104"/>
      <c r="O109" s="104"/>
      <c r="P109" s="104"/>
    </row>
    <row r="110" spans="2:16" x14ac:dyDescent="0.25">
      <c r="B110" s="3"/>
      <c r="C110" s="3"/>
      <c r="D110" s="3"/>
      <c r="E110" s="3"/>
      <c r="H110" s="104"/>
      <c r="I110" s="104"/>
      <c r="J110" s="104"/>
      <c r="K110" s="104"/>
      <c r="L110" s="104"/>
      <c r="M110" s="104"/>
      <c r="N110" s="104"/>
      <c r="O110" s="104"/>
      <c r="P110" s="104"/>
    </row>
    <row r="111" spans="2:16" x14ac:dyDescent="0.25">
      <c r="B111" s="3"/>
      <c r="C111" s="3"/>
      <c r="D111" s="3"/>
      <c r="E111" s="3"/>
      <c r="H111" s="104"/>
      <c r="I111" s="104"/>
      <c r="J111" s="104"/>
      <c r="K111" s="104"/>
      <c r="L111" s="104"/>
      <c r="M111" s="104"/>
      <c r="N111" s="104"/>
      <c r="O111" s="104"/>
      <c r="P111" s="104"/>
    </row>
    <row r="112" spans="2:16" x14ac:dyDescent="0.25">
      <c r="B112" s="3"/>
      <c r="C112" s="3"/>
      <c r="D112" s="3"/>
      <c r="E112" s="3"/>
      <c r="H112" s="104"/>
      <c r="I112" s="104"/>
      <c r="J112" s="104"/>
      <c r="K112" s="104"/>
      <c r="L112" s="104"/>
      <c r="M112" s="104"/>
      <c r="N112" s="104"/>
      <c r="O112" s="104"/>
      <c r="P112" s="104"/>
    </row>
    <row r="113" spans="2:16" x14ac:dyDescent="0.25">
      <c r="B113" s="3"/>
      <c r="C113" s="3"/>
      <c r="D113" s="3"/>
      <c r="E113" s="3"/>
      <c r="H113" s="104"/>
      <c r="I113" s="104"/>
      <c r="J113" s="104"/>
      <c r="K113" s="104"/>
      <c r="L113" s="104"/>
      <c r="M113" s="104"/>
      <c r="N113" s="104"/>
      <c r="O113" s="104"/>
      <c r="P113" s="104"/>
    </row>
    <row r="114" spans="2:16" x14ac:dyDescent="0.25">
      <c r="B114" s="3"/>
      <c r="C114" s="3"/>
      <c r="D114" s="3"/>
      <c r="E114" s="3"/>
      <c r="H114" s="104"/>
      <c r="I114" s="104"/>
      <c r="J114" s="104"/>
      <c r="K114" s="104"/>
      <c r="L114" s="104"/>
      <c r="M114" s="104"/>
      <c r="N114" s="104"/>
      <c r="O114" s="104"/>
      <c r="P114" s="104"/>
    </row>
    <row r="115" spans="2:16" x14ac:dyDescent="0.25">
      <c r="B115" s="3"/>
      <c r="C115" s="3"/>
      <c r="D115" s="3"/>
      <c r="E115" s="3"/>
      <c r="H115" s="104"/>
      <c r="I115" s="104"/>
      <c r="J115" s="104"/>
      <c r="K115" s="104"/>
      <c r="L115" s="104"/>
      <c r="M115" s="104"/>
      <c r="N115" s="104"/>
      <c r="O115" s="104"/>
      <c r="P115" s="104"/>
    </row>
    <row r="116" spans="2:16" x14ac:dyDescent="0.25">
      <c r="B116" s="3"/>
      <c r="C116" s="3"/>
      <c r="D116" s="3"/>
      <c r="E116" s="3"/>
      <c r="H116" s="104"/>
      <c r="I116" s="104"/>
      <c r="J116" s="104"/>
      <c r="K116" s="104"/>
      <c r="L116" s="104"/>
      <c r="M116" s="104"/>
      <c r="N116" s="104"/>
      <c r="O116" s="104"/>
      <c r="P116" s="104"/>
    </row>
    <row r="117" spans="2:16" x14ac:dyDescent="0.25">
      <c r="B117" s="3"/>
      <c r="C117" s="3"/>
      <c r="D117" s="3"/>
      <c r="E117" s="3"/>
      <c r="H117" s="104"/>
      <c r="I117" s="104"/>
      <c r="J117" s="104"/>
      <c r="K117" s="104"/>
      <c r="L117" s="104"/>
      <c r="M117" s="104"/>
      <c r="N117" s="104"/>
      <c r="O117" s="104"/>
      <c r="P117" s="104"/>
    </row>
    <row r="118" spans="2:16" x14ac:dyDescent="0.25">
      <c r="B118" s="3"/>
      <c r="C118" s="3"/>
      <c r="D118" s="3"/>
      <c r="H118" s="104"/>
      <c r="I118" s="104"/>
      <c r="J118" s="104"/>
      <c r="K118" s="104"/>
      <c r="L118" s="104"/>
      <c r="M118" s="104"/>
      <c r="N118" s="104"/>
      <c r="O118" s="104"/>
      <c r="P118" s="104"/>
    </row>
    <row r="119" spans="2:16" x14ac:dyDescent="0.25">
      <c r="H119" s="104"/>
      <c r="I119" s="104"/>
      <c r="J119" s="104"/>
      <c r="K119" s="104"/>
      <c r="L119" s="104"/>
      <c r="M119" s="104"/>
      <c r="N119" s="104"/>
      <c r="O119" s="104"/>
      <c r="P119" s="104"/>
    </row>
    <row r="120" spans="2:16" x14ac:dyDescent="0.25">
      <c r="H120" s="104"/>
      <c r="I120" s="104"/>
      <c r="J120" s="104"/>
      <c r="K120" s="104"/>
      <c r="L120" s="104"/>
      <c r="M120" s="104"/>
      <c r="N120" s="104"/>
      <c r="O120" s="104"/>
      <c r="P120" s="104"/>
    </row>
    <row r="121" spans="2:16" ht="18" customHeight="1" x14ac:dyDescent="0.25">
      <c r="H121" s="104"/>
      <c r="I121" s="104"/>
      <c r="J121" s="104"/>
      <c r="K121" s="104"/>
      <c r="L121" s="104"/>
      <c r="M121" s="104"/>
      <c r="N121" s="104"/>
      <c r="O121" s="104"/>
      <c r="P121" s="104"/>
    </row>
    <row r="122" spans="2:16" ht="15.75" customHeight="1" x14ac:dyDescent="0.25">
      <c r="H122" s="104"/>
      <c r="I122" s="104"/>
      <c r="J122" s="104"/>
      <c r="K122" s="104"/>
      <c r="L122" s="104"/>
      <c r="M122" s="104"/>
      <c r="N122" s="104"/>
      <c r="O122" s="104"/>
      <c r="P122" s="104"/>
    </row>
    <row r="123" spans="2:16" ht="16.5" customHeight="1" x14ac:dyDescent="0.25">
      <c r="H123" s="104"/>
      <c r="I123" s="104"/>
      <c r="J123" s="104"/>
      <c r="K123" s="104"/>
      <c r="L123" s="104"/>
      <c r="M123" s="104"/>
      <c r="N123" s="104"/>
      <c r="O123" s="104"/>
      <c r="P123" s="104"/>
    </row>
    <row r="124" spans="2:16" x14ac:dyDescent="0.25">
      <c r="H124" s="104"/>
      <c r="I124" s="104"/>
      <c r="J124" s="104"/>
      <c r="K124" s="104"/>
      <c r="L124" s="104"/>
      <c r="M124" s="104"/>
      <c r="N124" s="104"/>
      <c r="O124" s="104"/>
      <c r="P124" s="104"/>
    </row>
    <row r="125" spans="2:16" ht="15.75" customHeight="1" x14ac:dyDescent="0.25">
      <c r="H125" s="104"/>
      <c r="I125" s="104"/>
      <c r="J125" s="104"/>
      <c r="K125" s="104"/>
      <c r="L125" s="104"/>
      <c r="M125" s="104"/>
      <c r="N125" s="104"/>
      <c r="O125" s="104"/>
      <c r="P125" s="104"/>
    </row>
    <row r="126" spans="2:16" x14ac:dyDescent="0.25">
      <c r="H126" s="104"/>
      <c r="I126" s="104"/>
      <c r="J126" s="104"/>
      <c r="K126" s="104"/>
      <c r="L126" s="104"/>
      <c r="M126" s="104"/>
      <c r="N126" s="104"/>
      <c r="O126" s="104"/>
      <c r="P126" s="104"/>
    </row>
    <row r="127" spans="2:16" ht="15" customHeight="1" x14ac:dyDescent="0.25">
      <c r="H127" s="104"/>
      <c r="I127" s="104"/>
      <c r="J127" s="104"/>
      <c r="K127" s="104"/>
      <c r="L127" s="104"/>
      <c r="M127" s="104"/>
      <c r="N127" s="104"/>
      <c r="O127" s="104"/>
      <c r="P127" s="104"/>
    </row>
    <row r="128" spans="2:16" ht="15.75" customHeight="1" x14ac:dyDescent="0.25">
      <c r="H128" s="104"/>
      <c r="I128" s="104"/>
      <c r="J128" s="104"/>
      <c r="K128" s="104"/>
      <c r="L128" s="104"/>
      <c r="M128" s="104"/>
      <c r="N128" s="104"/>
      <c r="O128" s="104"/>
      <c r="P128" s="104"/>
    </row>
    <row r="129" spans="8:16" ht="32.25" customHeight="1" x14ac:dyDescent="0.25">
      <c r="H129" s="104"/>
      <c r="I129" s="104"/>
      <c r="J129" s="104"/>
      <c r="K129" s="104"/>
      <c r="L129" s="104"/>
      <c r="M129" s="104"/>
      <c r="N129" s="104"/>
      <c r="O129" s="104"/>
      <c r="P129" s="104"/>
    </row>
    <row r="130" spans="8:16" x14ac:dyDescent="0.25">
      <c r="H130" s="104"/>
      <c r="I130" s="104"/>
      <c r="J130" s="104"/>
      <c r="K130" s="104"/>
      <c r="L130" s="104"/>
      <c r="M130" s="104"/>
      <c r="N130" s="104"/>
      <c r="O130" s="104"/>
      <c r="P130" s="104"/>
    </row>
    <row r="131" spans="8:16" ht="18" customHeight="1" x14ac:dyDescent="0.25">
      <c r="H131" s="104"/>
      <c r="I131" s="104"/>
      <c r="J131" s="104"/>
      <c r="K131" s="104"/>
      <c r="L131" s="104"/>
      <c r="M131" s="104"/>
      <c r="N131" s="104"/>
      <c r="O131" s="104"/>
      <c r="P131" s="104"/>
    </row>
    <row r="132" spans="8:16" ht="15" customHeight="1" x14ac:dyDescent="0.25">
      <c r="H132" s="104"/>
      <c r="I132" s="104"/>
      <c r="J132" s="104"/>
      <c r="K132" s="104"/>
      <c r="L132" s="104"/>
      <c r="M132" s="104"/>
      <c r="N132" s="104"/>
      <c r="O132" s="104"/>
      <c r="P132" s="104"/>
    </row>
    <row r="133" spans="8:16" ht="15" customHeight="1" x14ac:dyDescent="0.25">
      <c r="H133" s="104"/>
      <c r="I133" s="104"/>
      <c r="J133" s="104"/>
      <c r="K133" s="104"/>
      <c r="L133" s="104"/>
      <c r="M133" s="104"/>
      <c r="N133" s="104"/>
      <c r="O133" s="104"/>
      <c r="P133" s="104"/>
    </row>
    <row r="134" spans="8:16" ht="15" customHeight="1" x14ac:dyDescent="0.25">
      <c r="H134" s="104"/>
      <c r="I134" s="104"/>
      <c r="J134" s="104"/>
      <c r="K134" s="104"/>
      <c r="L134" s="104"/>
      <c r="M134" s="104"/>
      <c r="N134" s="104"/>
      <c r="O134" s="104"/>
      <c r="P134" s="104"/>
    </row>
    <row r="135" spans="8:16" ht="15" customHeight="1" x14ac:dyDescent="0.25">
      <c r="H135" s="104"/>
      <c r="I135" s="104"/>
      <c r="J135" s="104"/>
      <c r="K135" s="104"/>
      <c r="L135" s="104"/>
      <c r="M135" s="104"/>
      <c r="N135" s="104"/>
      <c r="O135" s="104"/>
      <c r="P135" s="104"/>
    </row>
    <row r="136" spans="8:16" ht="15" customHeight="1" x14ac:dyDescent="0.25">
      <c r="H136" s="104"/>
      <c r="I136" s="104"/>
      <c r="J136" s="104"/>
      <c r="K136" s="104"/>
      <c r="L136" s="104"/>
      <c r="M136" s="104"/>
      <c r="N136" s="104"/>
      <c r="O136" s="104"/>
      <c r="P136" s="104"/>
    </row>
    <row r="137" spans="8:16" ht="15" customHeight="1" x14ac:dyDescent="0.25">
      <c r="H137" s="104"/>
      <c r="I137" s="104"/>
      <c r="J137" s="104"/>
      <c r="K137" s="104"/>
      <c r="L137" s="104"/>
      <c r="M137" s="104"/>
      <c r="N137" s="104"/>
      <c r="O137" s="104"/>
      <c r="P137" s="104"/>
    </row>
    <row r="138" spans="8:16" ht="15" customHeight="1" x14ac:dyDescent="0.25">
      <c r="H138" s="104"/>
      <c r="I138" s="104"/>
      <c r="J138" s="104"/>
      <c r="K138" s="104"/>
      <c r="L138" s="104"/>
      <c r="M138" s="104"/>
      <c r="N138" s="104"/>
      <c r="O138" s="104"/>
      <c r="P138" s="104"/>
    </row>
    <row r="139" spans="8:16" x14ac:dyDescent="0.25">
      <c r="H139" s="104"/>
      <c r="I139" s="104"/>
      <c r="J139" s="104"/>
      <c r="K139" s="104"/>
      <c r="L139" s="104"/>
      <c r="M139" s="104"/>
      <c r="N139" s="104"/>
      <c r="O139" s="104"/>
      <c r="P139" s="104"/>
    </row>
    <row r="140" spans="8:16" ht="15.75" customHeight="1" x14ac:dyDescent="0.25">
      <c r="H140" s="104"/>
      <c r="I140" s="104"/>
      <c r="J140" s="104"/>
      <c r="K140" s="104"/>
      <c r="L140" s="104"/>
      <c r="M140" s="104"/>
      <c r="N140" s="104"/>
      <c r="O140" s="104"/>
      <c r="P140" s="104"/>
    </row>
    <row r="141" spans="8:16" ht="15.75" customHeight="1" x14ac:dyDescent="0.25">
      <c r="H141" s="104"/>
      <c r="I141" s="104"/>
      <c r="J141" s="104"/>
      <c r="K141" s="104"/>
      <c r="L141" s="104"/>
      <c r="M141" s="104"/>
      <c r="N141" s="104"/>
      <c r="O141" s="104"/>
      <c r="P141" s="104"/>
    </row>
    <row r="142" spans="8:16" ht="41.25" customHeight="1" x14ac:dyDescent="0.25">
      <c r="H142" s="104"/>
      <c r="I142" s="104"/>
      <c r="J142" s="104"/>
      <c r="K142" s="104"/>
      <c r="L142" s="104"/>
      <c r="M142" s="104"/>
      <c r="N142" s="104"/>
      <c r="O142" s="104"/>
      <c r="P142" s="104"/>
    </row>
    <row r="143" spans="8:16" ht="15.75" customHeight="1" x14ac:dyDescent="0.25">
      <c r="H143" s="104"/>
      <c r="I143" s="104"/>
      <c r="J143" s="104"/>
      <c r="K143" s="104"/>
      <c r="L143" s="104"/>
      <c r="M143" s="104"/>
      <c r="N143" s="104"/>
      <c r="O143" s="104"/>
      <c r="P143" s="104"/>
    </row>
    <row r="144" spans="8:16" ht="15.75" customHeight="1" x14ac:dyDescent="0.25">
      <c r="H144" s="104"/>
      <c r="I144" s="104"/>
      <c r="J144" s="104"/>
      <c r="K144" s="104"/>
      <c r="L144" s="104"/>
      <c r="M144" s="104"/>
      <c r="N144" s="104"/>
      <c r="O144" s="104"/>
      <c r="P144" s="104"/>
    </row>
    <row r="145" spans="8:16" ht="47.25" customHeight="1" x14ac:dyDescent="0.25">
      <c r="H145" s="104"/>
      <c r="I145" s="104"/>
      <c r="J145" s="104"/>
      <c r="K145" s="104"/>
      <c r="L145" s="104"/>
      <c r="M145" s="104"/>
      <c r="N145" s="104"/>
      <c r="O145" s="104"/>
      <c r="P145" s="104"/>
    </row>
    <row r="146" spans="8:16" x14ac:dyDescent="0.25">
      <c r="H146" s="104"/>
      <c r="I146" s="104"/>
      <c r="J146" s="104"/>
      <c r="K146" s="104"/>
      <c r="L146" s="104"/>
      <c r="M146" s="104"/>
      <c r="N146" s="104"/>
      <c r="O146" s="104"/>
      <c r="P146" s="104"/>
    </row>
    <row r="147" spans="8:16" ht="15.75" customHeight="1" x14ac:dyDescent="0.25">
      <c r="H147" s="104"/>
      <c r="I147" s="104"/>
      <c r="J147" s="104"/>
      <c r="K147" s="104"/>
      <c r="L147" s="104"/>
      <c r="M147" s="104"/>
      <c r="N147" s="104"/>
      <c r="O147" s="104"/>
      <c r="P147" s="104"/>
    </row>
    <row r="148" spans="8:16" ht="15.75" customHeight="1" x14ac:dyDescent="0.25">
      <c r="H148" s="104"/>
      <c r="I148" s="104"/>
      <c r="J148" s="104"/>
      <c r="K148" s="104"/>
      <c r="L148" s="104"/>
      <c r="M148" s="104"/>
      <c r="N148" s="104"/>
      <c r="O148" s="104"/>
      <c r="P148" s="104"/>
    </row>
    <row r="149" spans="8:16" ht="15.75" customHeight="1" x14ac:dyDescent="0.25">
      <c r="H149" s="104"/>
      <c r="I149" s="104"/>
      <c r="J149" s="104"/>
      <c r="K149" s="104"/>
      <c r="L149" s="104"/>
      <c r="M149" s="104"/>
      <c r="N149" s="104"/>
      <c r="O149" s="104"/>
      <c r="P149" s="104"/>
    </row>
    <row r="150" spans="8:16" ht="31.5" customHeight="1" x14ac:dyDescent="0.25">
      <c r="H150" s="104"/>
      <c r="I150" s="104"/>
      <c r="J150" s="104"/>
      <c r="K150" s="104"/>
      <c r="L150" s="104"/>
      <c r="M150" s="104"/>
      <c r="N150" s="104"/>
      <c r="O150" s="104"/>
      <c r="P150" s="104"/>
    </row>
    <row r="151" spans="8:16" ht="15.75" customHeight="1" x14ac:dyDescent="0.25">
      <c r="H151" s="104"/>
      <c r="I151" s="104"/>
      <c r="J151" s="104"/>
      <c r="K151" s="104"/>
      <c r="L151" s="104"/>
      <c r="M151" s="104"/>
      <c r="N151" s="104"/>
      <c r="O151" s="104"/>
      <c r="P151" s="104"/>
    </row>
    <row r="152" spans="8:16" ht="15" customHeight="1" x14ac:dyDescent="0.25">
      <c r="H152" s="104"/>
      <c r="I152" s="104"/>
      <c r="J152" s="104"/>
      <c r="K152" s="104"/>
      <c r="L152" s="104"/>
      <c r="M152" s="104"/>
      <c r="N152" s="104"/>
      <c r="O152" s="104"/>
      <c r="P152" s="104"/>
    </row>
    <row r="153" spans="8:16" ht="15" customHeight="1" x14ac:dyDescent="0.25">
      <c r="H153" s="104"/>
      <c r="I153" s="104"/>
      <c r="J153" s="104"/>
      <c r="K153" s="104"/>
      <c r="L153" s="104"/>
      <c r="M153" s="104"/>
      <c r="N153" s="104"/>
      <c r="O153" s="104"/>
      <c r="P153" s="104"/>
    </row>
    <row r="154" spans="8:16" ht="15" customHeight="1" x14ac:dyDescent="0.25">
      <c r="H154" s="104"/>
      <c r="I154" s="104"/>
      <c r="J154" s="104"/>
      <c r="K154" s="104"/>
      <c r="L154" s="104"/>
      <c r="M154" s="104"/>
      <c r="N154" s="104"/>
      <c r="O154" s="104"/>
      <c r="P154" s="104"/>
    </row>
    <row r="155" spans="8:16" ht="15.75" customHeight="1" x14ac:dyDescent="0.25">
      <c r="H155" s="104"/>
      <c r="I155" s="104"/>
      <c r="J155" s="104"/>
      <c r="K155" s="104"/>
      <c r="L155" s="104"/>
      <c r="M155" s="104"/>
      <c r="N155" s="104"/>
      <c r="O155" s="104"/>
      <c r="P155" s="104"/>
    </row>
    <row r="156" spans="8:16" x14ac:dyDescent="0.25">
      <c r="H156" s="104"/>
      <c r="I156" s="104"/>
      <c r="J156" s="104"/>
      <c r="K156" s="104"/>
      <c r="L156" s="104"/>
      <c r="M156" s="104"/>
      <c r="N156" s="104"/>
      <c r="O156" s="104"/>
      <c r="P156" s="104"/>
    </row>
    <row r="157" spans="8:16" ht="15.75" customHeight="1" x14ac:dyDescent="0.25">
      <c r="H157" s="104"/>
      <c r="I157" s="104"/>
      <c r="J157" s="104"/>
      <c r="K157" s="104"/>
      <c r="L157" s="104"/>
      <c r="M157" s="104"/>
      <c r="N157" s="104"/>
      <c r="O157" s="104"/>
      <c r="P157" s="104"/>
    </row>
    <row r="158" spans="8:16" x14ac:dyDescent="0.25">
      <c r="H158" s="104"/>
      <c r="I158" s="104"/>
      <c r="J158" s="104"/>
      <c r="K158" s="104"/>
      <c r="L158" s="104"/>
      <c r="M158" s="104"/>
      <c r="N158" s="104"/>
      <c r="O158" s="104"/>
      <c r="P158" s="104"/>
    </row>
    <row r="159" spans="8:16" x14ac:dyDescent="0.25">
      <c r="H159" s="104"/>
      <c r="I159" s="104"/>
      <c r="J159" s="104"/>
      <c r="K159" s="104"/>
      <c r="L159" s="104"/>
      <c r="M159" s="104"/>
      <c r="N159" s="104"/>
      <c r="O159" s="104"/>
      <c r="P159" s="104"/>
    </row>
    <row r="160" spans="8:16" x14ac:dyDescent="0.25">
      <c r="H160" s="104"/>
      <c r="I160" s="104"/>
      <c r="J160" s="104"/>
      <c r="K160" s="104"/>
      <c r="L160" s="104"/>
      <c r="M160" s="104"/>
      <c r="N160" s="104"/>
      <c r="O160" s="104"/>
      <c r="P160" s="104"/>
    </row>
    <row r="161" spans="8:16" ht="15.75" customHeight="1" x14ac:dyDescent="0.25">
      <c r="H161" s="104"/>
      <c r="I161" s="104"/>
      <c r="J161" s="104"/>
      <c r="K161" s="104"/>
      <c r="L161" s="104"/>
      <c r="M161" s="104"/>
      <c r="N161" s="104"/>
      <c r="O161" s="104"/>
      <c r="P161" s="104"/>
    </row>
    <row r="162" spans="8:16" ht="15.75" customHeight="1" x14ac:dyDescent="0.25">
      <c r="H162" s="104"/>
      <c r="I162" s="104"/>
      <c r="J162" s="104"/>
      <c r="K162" s="104"/>
      <c r="L162" s="104"/>
      <c r="M162" s="104"/>
      <c r="N162" s="104"/>
      <c r="O162" s="104"/>
      <c r="P162" s="104"/>
    </row>
    <row r="163" spans="8:16" ht="15.75" customHeight="1" x14ac:dyDescent="0.25">
      <c r="H163" s="104"/>
      <c r="I163" s="104"/>
      <c r="J163" s="104"/>
      <c r="K163" s="104"/>
      <c r="L163" s="104"/>
      <c r="M163" s="104"/>
      <c r="N163" s="104"/>
      <c r="O163" s="104"/>
      <c r="P163" s="104"/>
    </row>
    <row r="164" spans="8:16" x14ac:dyDescent="0.25">
      <c r="H164" s="104"/>
      <c r="I164" s="104"/>
      <c r="J164" s="104"/>
      <c r="K164" s="104"/>
      <c r="L164" s="104"/>
      <c r="M164" s="104"/>
      <c r="N164" s="104"/>
      <c r="O164" s="104"/>
      <c r="P164" s="104"/>
    </row>
    <row r="165" spans="8:16" ht="15.75" customHeight="1" x14ac:dyDescent="0.25">
      <c r="H165" s="104"/>
      <c r="I165" s="104"/>
      <c r="J165" s="104"/>
      <c r="K165" s="104"/>
      <c r="L165" s="104"/>
      <c r="M165" s="104"/>
      <c r="N165" s="104"/>
      <c r="O165" s="104"/>
      <c r="P165" s="104"/>
    </row>
    <row r="166" spans="8:16" x14ac:dyDescent="0.25">
      <c r="H166" s="104"/>
      <c r="I166" s="104"/>
      <c r="J166" s="104"/>
      <c r="K166" s="104"/>
      <c r="L166" s="104"/>
      <c r="M166" s="104"/>
      <c r="N166" s="104"/>
      <c r="O166" s="104"/>
      <c r="P166" s="104"/>
    </row>
    <row r="167" spans="8:16" x14ac:dyDescent="0.25">
      <c r="H167" s="104"/>
      <c r="I167" s="104"/>
      <c r="J167" s="104"/>
      <c r="K167" s="104"/>
      <c r="L167" s="104"/>
      <c r="M167" s="104"/>
      <c r="N167" s="104"/>
      <c r="O167" s="104"/>
      <c r="P167" s="104"/>
    </row>
    <row r="168" spans="8:16" x14ac:dyDescent="0.25">
      <c r="H168" s="104"/>
      <c r="I168" s="104"/>
      <c r="J168" s="104"/>
      <c r="K168" s="104"/>
      <c r="L168" s="104"/>
      <c r="M168" s="104"/>
      <c r="N168" s="104"/>
      <c r="O168" s="104"/>
      <c r="P168" s="104"/>
    </row>
    <row r="169" spans="8:16" ht="15.75" customHeight="1" x14ac:dyDescent="0.25">
      <c r="H169" s="104"/>
      <c r="I169" s="104"/>
      <c r="J169" s="104"/>
      <c r="K169" s="104"/>
      <c r="L169" s="104"/>
      <c r="M169" s="104"/>
      <c r="N169" s="104"/>
      <c r="O169" s="104"/>
      <c r="P169" s="104"/>
    </row>
    <row r="170" spans="8:16" x14ac:dyDescent="0.25">
      <c r="H170" s="104"/>
      <c r="I170" s="104"/>
      <c r="J170" s="104"/>
      <c r="K170" s="104"/>
      <c r="L170" s="104"/>
      <c r="M170" s="104"/>
      <c r="N170" s="104"/>
      <c r="O170" s="104"/>
      <c r="P170" s="104"/>
    </row>
    <row r="171" spans="8:16" ht="15.75" customHeight="1" x14ac:dyDescent="0.25">
      <c r="H171" s="104"/>
      <c r="I171" s="104"/>
      <c r="J171" s="104"/>
      <c r="K171" s="104"/>
      <c r="L171" s="104"/>
      <c r="M171" s="104"/>
      <c r="N171" s="104"/>
      <c r="O171" s="104"/>
      <c r="P171" s="104"/>
    </row>
    <row r="172" spans="8:16" ht="15.75" customHeight="1" x14ac:dyDescent="0.25">
      <c r="H172" s="104"/>
      <c r="I172" s="104"/>
      <c r="J172" s="104"/>
      <c r="K172" s="104"/>
      <c r="L172" s="104"/>
      <c r="M172" s="104"/>
      <c r="N172" s="104"/>
      <c r="O172" s="104"/>
      <c r="P172" s="104"/>
    </row>
    <row r="173" spans="8:16" x14ac:dyDescent="0.25">
      <c r="H173" s="104"/>
      <c r="I173" s="104"/>
      <c r="J173" s="104"/>
      <c r="K173" s="104"/>
      <c r="L173" s="104"/>
      <c r="M173" s="104"/>
      <c r="N173" s="104"/>
      <c r="O173" s="104"/>
      <c r="P173" s="104"/>
    </row>
    <row r="174" spans="8:16" x14ac:dyDescent="0.25">
      <c r="H174" s="104"/>
      <c r="I174" s="104"/>
      <c r="J174" s="104"/>
      <c r="K174" s="104"/>
      <c r="L174" s="104"/>
      <c r="M174" s="104"/>
      <c r="N174" s="104"/>
      <c r="O174" s="104"/>
      <c r="P174" s="104"/>
    </row>
    <row r="175" spans="8:16" ht="15.75" customHeight="1" x14ac:dyDescent="0.25">
      <c r="H175" s="104"/>
      <c r="I175" s="104"/>
      <c r="J175" s="104"/>
      <c r="K175" s="104"/>
      <c r="L175" s="104"/>
      <c r="M175" s="104"/>
      <c r="N175" s="104"/>
      <c r="O175" s="104"/>
      <c r="P175" s="104"/>
    </row>
    <row r="176" spans="8:16" ht="15.75" customHeight="1" x14ac:dyDescent="0.25">
      <c r="H176" s="104"/>
      <c r="I176" s="104"/>
      <c r="J176" s="104"/>
      <c r="K176" s="104"/>
      <c r="L176" s="104"/>
      <c r="M176" s="104"/>
      <c r="N176" s="104"/>
      <c r="O176" s="104"/>
      <c r="P176" s="104"/>
    </row>
    <row r="177" spans="8:16" x14ac:dyDescent="0.25">
      <c r="H177" s="104"/>
      <c r="I177" s="104"/>
      <c r="J177" s="104"/>
      <c r="K177" s="104"/>
      <c r="L177" s="104"/>
      <c r="M177" s="104"/>
      <c r="N177" s="104"/>
      <c r="O177" s="104"/>
      <c r="P177" s="104"/>
    </row>
    <row r="178" spans="8:16" ht="16.5" customHeight="1" x14ac:dyDescent="0.25">
      <c r="H178" s="104"/>
      <c r="I178" s="104"/>
      <c r="J178" s="104"/>
      <c r="K178" s="104"/>
      <c r="L178" s="104"/>
      <c r="M178" s="104"/>
      <c r="N178" s="104"/>
      <c r="O178" s="104"/>
      <c r="P178" s="104"/>
    </row>
    <row r="179" spans="8:16" x14ac:dyDescent="0.25">
      <c r="H179" s="104"/>
      <c r="I179" s="104"/>
      <c r="J179" s="104"/>
      <c r="K179" s="104"/>
      <c r="L179" s="104"/>
      <c r="M179" s="104"/>
      <c r="N179" s="104"/>
      <c r="O179" s="104"/>
      <c r="P179" s="104"/>
    </row>
    <row r="180" spans="8:16" ht="15.75" customHeight="1" x14ac:dyDescent="0.25">
      <c r="H180" s="104"/>
      <c r="I180" s="104"/>
      <c r="J180" s="104"/>
      <c r="K180" s="104"/>
      <c r="L180" s="104"/>
      <c r="M180" s="104"/>
      <c r="N180" s="104"/>
      <c r="O180" s="104"/>
      <c r="P180" s="104"/>
    </row>
    <row r="181" spans="8:16" x14ac:dyDescent="0.25">
      <c r="H181" s="104"/>
      <c r="I181" s="104"/>
      <c r="J181" s="104"/>
      <c r="K181" s="104"/>
      <c r="L181" s="104"/>
      <c r="M181" s="104"/>
      <c r="N181" s="104"/>
      <c r="O181" s="104"/>
      <c r="P181" s="104"/>
    </row>
    <row r="182" spans="8:16" x14ac:dyDescent="0.25">
      <c r="H182" s="104"/>
      <c r="I182" s="104"/>
      <c r="J182" s="104"/>
      <c r="K182" s="104"/>
      <c r="L182" s="104"/>
      <c r="M182" s="104"/>
      <c r="N182" s="104"/>
      <c r="O182" s="104"/>
      <c r="P182" s="104"/>
    </row>
    <row r="183" spans="8:16" x14ac:dyDescent="0.25">
      <c r="H183" s="104"/>
      <c r="I183" s="104"/>
      <c r="J183" s="104"/>
      <c r="K183" s="104"/>
      <c r="L183" s="104"/>
      <c r="M183" s="104"/>
      <c r="N183" s="104"/>
      <c r="O183" s="104"/>
      <c r="P183" s="104"/>
    </row>
    <row r="184" spans="8:16" ht="15" customHeight="1" x14ac:dyDescent="0.25">
      <c r="H184" s="104"/>
      <c r="I184" s="104"/>
      <c r="J184" s="104"/>
      <c r="K184" s="104"/>
      <c r="L184" s="104"/>
      <c r="M184" s="104"/>
      <c r="N184" s="104"/>
      <c r="O184" s="104"/>
      <c r="P184" s="104"/>
    </row>
    <row r="185" spans="8:16" ht="15" customHeight="1" x14ac:dyDescent="0.25">
      <c r="H185" s="104"/>
      <c r="I185" s="104"/>
      <c r="J185" s="104"/>
      <c r="K185" s="104"/>
      <c r="L185" s="104"/>
      <c r="M185" s="104"/>
      <c r="N185" s="104"/>
      <c r="O185" s="104"/>
      <c r="P185" s="104"/>
    </row>
    <row r="186" spans="8:16" x14ac:dyDescent="0.25">
      <c r="H186" s="104"/>
      <c r="I186" s="104"/>
      <c r="J186" s="104"/>
      <c r="K186" s="104"/>
      <c r="L186" s="104"/>
      <c r="M186" s="104"/>
      <c r="N186" s="104"/>
      <c r="O186" s="104"/>
      <c r="P186" s="104"/>
    </row>
    <row r="187" spans="8:16" x14ac:dyDescent="0.25">
      <c r="H187" s="104"/>
      <c r="I187" s="104"/>
      <c r="J187" s="104"/>
      <c r="K187" s="104"/>
      <c r="L187" s="104"/>
      <c r="M187" s="104"/>
      <c r="N187" s="104"/>
      <c r="O187" s="104"/>
      <c r="P187" s="104"/>
    </row>
    <row r="188" spans="8:16" x14ac:dyDescent="0.25">
      <c r="H188" s="104"/>
      <c r="I188" s="104"/>
      <c r="J188" s="104"/>
      <c r="K188" s="104"/>
      <c r="L188" s="104"/>
      <c r="M188" s="104"/>
      <c r="N188" s="104"/>
      <c r="O188" s="104"/>
      <c r="P188" s="104"/>
    </row>
    <row r="189" spans="8:16" x14ac:dyDescent="0.25">
      <c r="H189" s="104"/>
      <c r="I189" s="104"/>
      <c r="J189" s="104"/>
      <c r="K189" s="104"/>
      <c r="L189" s="104"/>
      <c r="M189" s="104"/>
      <c r="N189" s="104"/>
      <c r="O189" s="104"/>
      <c r="P189" s="104"/>
    </row>
    <row r="190" spans="8:16" x14ac:dyDescent="0.25">
      <c r="H190" s="104"/>
      <c r="I190" s="104"/>
      <c r="J190" s="104"/>
      <c r="K190" s="104"/>
      <c r="L190" s="104"/>
      <c r="M190" s="104"/>
      <c r="N190" s="104"/>
      <c r="O190" s="104"/>
      <c r="P190" s="104"/>
    </row>
    <row r="191" spans="8:16" x14ac:dyDescent="0.25">
      <c r="H191" s="104"/>
      <c r="I191" s="104"/>
      <c r="J191" s="104"/>
      <c r="K191" s="104"/>
      <c r="L191" s="104"/>
      <c r="M191" s="104"/>
      <c r="N191" s="104"/>
      <c r="O191" s="104"/>
      <c r="P191" s="104"/>
    </row>
    <row r="233" spans="21:21" x14ac:dyDescent="0.25">
      <c r="U233" s="1" t="s">
        <v>68</v>
      </c>
    </row>
  </sheetData>
  <dataConsolidate/>
  <mergeCells count="146">
    <mergeCell ref="M5:N5"/>
    <mergeCell ref="O5:P5"/>
    <mergeCell ref="B6:C7"/>
    <mergeCell ref="F6:P7"/>
    <mergeCell ref="S6:V7"/>
    <mergeCell ref="B9:C9"/>
    <mergeCell ref="F9:P9"/>
    <mergeCell ref="N1:P1"/>
    <mergeCell ref="R1:S1"/>
    <mergeCell ref="N2:P2"/>
    <mergeCell ref="R2:S2"/>
    <mergeCell ref="N3:P3"/>
    <mergeCell ref="R3:S3"/>
    <mergeCell ref="F13:G13"/>
    <mergeCell ref="S13:T13"/>
    <mergeCell ref="F14:G14"/>
    <mergeCell ref="S14:T14"/>
    <mergeCell ref="F15:G15"/>
    <mergeCell ref="S15:T15"/>
    <mergeCell ref="F10:G10"/>
    <mergeCell ref="S10:T10"/>
    <mergeCell ref="F11:G11"/>
    <mergeCell ref="S11:T11"/>
    <mergeCell ref="F12:G12"/>
    <mergeCell ref="S12:T12"/>
    <mergeCell ref="F19:G19"/>
    <mergeCell ref="S19:T19"/>
    <mergeCell ref="F20:G20"/>
    <mergeCell ref="S20:T20"/>
    <mergeCell ref="F21:P21"/>
    <mergeCell ref="S21:T21"/>
    <mergeCell ref="F16:G16"/>
    <mergeCell ref="S16:T16"/>
    <mergeCell ref="F17:G17"/>
    <mergeCell ref="S17:T17"/>
    <mergeCell ref="F18:G18"/>
    <mergeCell ref="S18:T18"/>
    <mergeCell ref="F25:P25"/>
    <mergeCell ref="S25:T25"/>
    <mergeCell ref="F26:G26"/>
    <mergeCell ref="S26:T26"/>
    <mergeCell ref="F27:G27"/>
    <mergeCell ref="S27:T27"/>
    <mergeCell ref="F22:P22"/>
    <mergeCell ref="S22:T22"/>
    <mergeCell ref="F23:G23"/>
    <mergeCell ref="S23:T23"/>
    <mergeCell ref="F24:G24"/>
    <mergeCell ref="S24:T24"/>
    <mergeCell ref="F31:P31"/>
    <mergeCell ref="S31:T31"/>
    <mergeCell ref="F32:G32"/>
    <mergeCell ref="S32:T32"/>
    <mergeCell ref="F33:G33"/>
    <mergeCell ref="S33:T33"/>
    <mergeCell ref="F28:G28"/>
    <mergeCell ref="S28:T28"/>
    <mergeCell ref="F29:G29"/>
    <mergeCell ref="S29:T29"/>
    <mergeCell ref="F30:G30"/>
    <mergeCell ref="S30:T30"/>
    <mergeCell ref="F37:P37"/>
    <mergeCell ref="S37:U37"/>
    <mergeCell ref="F38:G38"/>
    <mergeCell ref="S38:U38"/>
    <mergeCell ref="F39:G39"/>
    <mergeCell ref="S39:U39"/>
    <mergeCell ref="F34:G34"/>
    <mergeCell ref="S34:T34"/>
    <mergeCell ref="F35:G35"/>
    <mergeCell ref="S35:T35"/>
    <mergeCell ref="F36:G36"/>
    <mergeCell ref="S36:U36"/>
    <mergeCell ref="F47:G47"/>
    <mergeCell ref="S47:V50"/>
    <mergeCell ref="F48:P48"/>
    <mergeCell ref="F49:G49"/>
    <mergeCell ref="F50:G50"/>
    <mergeCell ref="F51:G51"/>
    <mergeCell ref="S51:V51"/>
    <mergeCell ref="F40:G40"/>
    <mergeCell ref="S40:U40"/>
    <mergeCell ref="F41:G41"/>
    <mergeCell ref="F42:G42"/>
    <mergeCell ref="F43:G43"/>
    <mergeCell ref="F44:G44"/>
    <mergeCell ref="F45:G45"/>
    <mergeCell ref="F46:G46"/>
    <mergeCell ref="S41:V41"/>
    <mergeCell ref="S42:V46"/>
    <mergeCell ref="F55:G55"/>
    <mergeCell ref="S55:T55"/>
    <mergeCell ref="F56:G56"/>
    <mergeCell ref="F57:G57"/>
    <mergeCell ref="B58:C58"/>
    <mergeCell ref="F58:G58"/>
    <mergeCell ref="F52:G52"/>
    <mergeCell ref="S52:V52"/>
    <mergeCell ref="F53:G53"/>
    <mergeCell ref="S53:V53"/>
    <mergeCell ref="F54:P54"/>
    <mergeCell ref="S54:V54"/>
    <mergeCell ref="F66:G66"/>
    <mergeCell ref="S66:T66"/>
    <mergeCell ref="F67:P67"/>
    <mergeCell ref="S67:T67"/>
    <mergeCell ref="F68:G68"/>
    <mergeCell ref="S68:T68"/>
    <mergeCell ref="B59:C70"/>
    <mergeCell ref="F59:G59"/>
    <mergeCell ref="F60:G60"/>
    <mergeCell ref="F61:G61"/>
    <mergeCell ref="S61:T61"/>
    <mergeCell ref="F62:G62"/>
    <mergeCell ref="F63:G63"/>
    <mergeCell ref="S63:T63"/>
    <mergeCell ref="F64:G64"/>
    <mergeCell ref="F65:G65"/>
    <mergeCell ref="B72:C72"/>
    <mergeCell ref="F72:G72"/>
    <mergeCell ref="S72:T72"/>
    <mergeCell ref="B73:C73"/>
    <mergeCell ref="F73:G73"/>
    <mergeCell ref="S73:T73"/>
    <mergeCell ref="F69:G69"/>
    <mergeCell ref="S69:T69"/>
    <mergeCell ref="F70:G70"/>
    <mergeCell ref="S70:T70"/>
    <mergeCell ref="B71:C71"/>
    <mergeCell ref="F71:G71"/>
    <mergeCell ref="S71:T71"/>
    <mergeCell ref="F80:G80"/>
    <mergeCell ref="F81:P81"/>
    <mergeCell ref="F82:G82"/>
    <mergeCell ref="F83:G83"/>
    <mergeCell ref="F84:G84"/>
    <mergeCell ref="F85:G85"/>
    <mergeCell ref="B74:C79"/>
    <mergeCell ref="F74:G74"/>
    <mergeCell ref="S74:T74"/>
    <mergeCell ref="F75:P75"/>
    <mergeCell ref="S75:T75"/>
    <mergeCell ref="F76:G76"/>
    <mergeCell ref="F77:G77"/>
    <mergeCell ref="F78:G78"/>
    <mergeCell ref="F79:G79"/>
  </mergeCells>
  <conditionalFormatting sqref="A6:A50">
    <cfRule type="containsText" dxfId="86" priority="32" operator="containsText" text="n/a">
      <formula>NOT(ISERROR(SEARCH("n/a",A6)))</formula>
    </cfRule>
  </conditionalFormatting>
  <conditionalFormatting sqref="B58:B59">
    <cfRule type="containsText" dxfId="85" priority="8" operator="containsText" text="n/a">
      <formula>NOT(ISERROR(SEARCH("n/a",B58)))</formula>
    </cfRule>
  </conditionalFormatting>
  <conditionalFormatting sqref="B71">
    <cfRule type="containsText" dxfId="84" priority="17" operator="containsText" text="n/a">
      <formula>NOT(ISERROR(SEARCH("n/a",B71)))</formula>
    </cfRule>
  </conditionalFormatting>
  <conditionalFormatting sqref="B73">
    <cfRule type="containsText" dxfId="83" priority="4" operator="containsText" text="n/a">
      <formula>NOT(ISERROR(SEARCH("n/a",B73)))</formula>
    </cfRule>
  </conditionalFormatting>
  <conditionalFormatting sqref="B8:C8">
    <cfRule type="containsText" dxfId="82" priority="41" operator="containsText" text="n/a">
      <formula>NOT(ISERROR(SEARCH("n/a",B8)))</formula>
    </cfRule>
  </conditionalFormatting>
  <conditionalFormatting sqref="B51:C52">
    <cfRule type="containsText" dxfId="81" priority="6" operator="containsText" text="n/a">
      <formula>NOT(ISERROR(SEARCH("n/a",B51)))</formula>
    </cfRule>
  </conditionalFormatting>
  <conditionalFormatting sqref="B55:C55">
    <cfRule type="containsText" dxfId="80" priority="18" operator="containsText" text="n/a">
      <formula>NOT(ISERROR(SEARCH("n/a",B55)))</formula>
    </cfRule>
  </conditionalFormatting>
  <conditionalFormatting sqref="B10:D10">
    <cfRule type="containsText" dxfId="79" priority="40" operator="containsText" text="n/a">
      <formula>NOT(ISERROR(SEARCH("n/a",B10)))</formula>
    </cfRule>
  </conditionalFormatting>
  <conditionalFormatting sqref="C13:D50">
    <cfRule type="containsErrors" dxfId="78" priority="43">
      <formula>ISERROR(C13)</formula>
    </cfRule>
  </conditionalFormatting>
  <conditionalFormatting sqref="F9:F10">
    <cfRule type="containsText" dxfId="77" priority="34" operator="containsText" text="n/a">
      <formula>NOT(ISERROR(SEARCH("n/a",F9)))</formula>
    </cfRule>
  </conditionalFormatting>
  <conditionalFormatting sqref="F21:F22">
    <cfRule type="containsText" dxfId="76" priority="11" operator="containsText" text="n/a">
      <formula>NOT(ISERROR(SEARCH("n/a",F21)))</formula>
    </cfRule>
  </conditionalFormatting>
  <conditionalFormatting sqref="F25">
    <cfRule type="containsText" dxfId="75" priority="25" operator="containsText" text="n/a">
      <formula>NOT(ISERROR(SEARCH("n/a",F25)))</formula>
    </cfRule>
  </conditionalFormatting>
  <conditionalFormatting sqref="F31">
    <cfRule type="containsText" dxfId="74" priority="24" operator="containsText" text="n/a">
      <formula>NOT(ISERROR(SEARCH("n/a",F31)))</formula>
    </cfRule>
  </conditionalFormatting>
  <conditionalFormatting sqref="F37">
    <cfRule type="containsText" dxfId="73" priority="23" operator="containsText" text="n/a">
      <formula>NOT(ISERROR(SEARCH("n/a",F37)))</formula>
    </cfRule>
  </conditionalFormatting>
  <conditionalFormatting sqref="F48">
    <cfRule type="containsText" dxfId="72" priority="22" operator="containsText" text="n/a">
      <formula>NOT(ISERROR(SEARCH("n/a",F48)))</formula>
    </cfRule>
  </conditionalFormatting>
  <conditionalFormatting sqref="F54">
    <cfRule type="containsText" dxfId="71" priority="5" operator="containsText" text="n/a">
      <formula>NOT(ISERROR(SEARCH("n/a",F54)))</formula>
    </cfRule>
  </conditionalFormatting>
  <conditionalFormatting sqref="F67">
    <cfRule type="containsText" dxfId="70" priority="21" operator="containsText" text="n/a">
      <formula>NOT(ISERROR(SEARCH("n/a",F67)))</formula>
    </cfRule>
  </conditionalFormatting>
  <conditionalFormatting sqref="F75">
    <cfRule type="containsText" dxfId="69" priority="20" operator="containsText" text="n/a">
      <formula>NOT(ISERROR(SEARCH("n/a",F75)))</formula>
    </cfRule>
  </conditionalFormatting>
  <conditionalFormatting sqref="F81">
    <cfRule type="containsText" dxfId="68" priority="19" operator="containsText" text="n/a">
      <formula>NOT(ISERROR(SEARCH("n/a",F81)))</formula>
    </cfRule>
  </conditionalFormatting>
  <conditionalFormatting sqref="F8:P8">
    <cfRule type="containsText" dxfId="67" priority="35" operator="containsText" text="n/a">
      <formula>NOT(ISERROR(SEARCH("n/a",F8)))</formula>
    </cfRule>
  </conditionalFormatting>
  <conditionalFormatting sqref="H10:P10">
    <cfRule type="containsText" dxfId="66" priority="33" operator="containsText" text="n/a">
      <formula>NOT(ISERROR(SEARCH("n/a",H10)))</formula>
    </cfRule>
  </conditionalFormatting>
  <conditionalFormatting sqref="K11:Q15 H11:J20 K16:O16 Q16:Q21 K17:N20">
    <cfRule type="containsErrors" dxfId="65" priority="44">
      <formula>ISERROR(H11)</formula>
    </cfRule>
  </conditionalFormatting>
  <conditionalFormatting sqref="Q9:Q10 K11:Q15 H11:J20 K16:O16 Q16:Q21 K17:N20">
    <cfRule type="containsText" dxfId="64" priority="42" operator="containsText" text="n/a">
      <formula>NOT(ISERROR(SEARCH("n/a",H9)))</formula>
    </cfRule>
  </conditionalFormatting>
  <conditionalFormatting sqref="S36:S39">
    <cfRule type="containsText" dxfId="63" priority="26" operator="containsText" text="Rate">
      <formula>NOT(ISERROR(SEARCH("Rate",S36)))</formula>
    </cfRule>
    <cfRule type="expression" dxfId="62" priority="27">
      <formula>Output_NetPrice_JM &lt; 99</formula>
    </cfRule>
    <cfRule type="expression" dxfId="61" priority="28">
      <formula>Output_NetPrice_ExpNR &lt; 99</formula>
    </cfRule>
  </conditionalFormatting>
  <conditionalFormatting sqref="S51:S52">
    <cfRule type="containsText" dxfId="60" priority="7" operator="containsText" text="n/a">
      <formula>NOT(ISERROR(SEARCH("n/a",S51)))</formula>
    </cfRule>
  </conditionalFormatting>
  <conditionalFormatting sqref="S55">
    <cfRule type="containsText" dxfId="59" priority="16" operator="containsText" text="n/a">
      <formula>NOT(ISERROR(SEARCH("n/a",S55)))</formula>
    </cfRule>
  </conditionalFormatting>
  <conditionalFormatting sqref="S61">
    <cfRule type="containsText" dxfId="58" priority="15" operator="containsText" text="n/a">
      <formula>NOT(ISERROR(SEARCH("n/a",S61)))</formula>
    </cfRule>
  </conditionalFormatting>
  <conditionalFormatting sqref="S63">
    <cfRule type="containsText" dxfId="57" priority="14" operator="containsText" text="n/a">
      <formula>NOT(ISERROR(SEARCH("n/a",S63)))</formula>
    </cfRule>
  </conditionalFormatting>
  <conditionalFormatting sqref="S66">
    <cfRule type="containsText" dxfId="56" priority="13" operator="containsText" text="n/a">
      <formula>NOT(ISERROR(SEARCH("n/a",S66)))</formula>
    </cfRule>
  </conditionalFormatting>
  <conditionalFormatting sqref="S72">
    <cfRule type="containsText" dxfId="55" priority="12" operator="containsText" text="n/a">
      <formula>NOT(ISERROR(SEARCH("n/a",S72)))</formula>
    </cfRule>
  </conditionalFormatting>
  <conditionalFormatting sqref="S8:W8">
    <cfRule type="containsText" dxfId="54" priority="36" operator="containsText" text="n/a">
      <formula>NOT(ISERROR(SEARCH("n/a",S8)))</formula>
    </cfRule>
  </conditionalFormatting>
  <conditionalFormatting sqref="U55:V55">
    <cfRule type="containsText" dxfId="53" priority="10" operator="containsText" text="n/a">
      <formula>NOT(ISERROR(SEARCH("n/a",U55)))</formula>
    </cfRule>
  </conditionalFormatting>
  <conditionalFormatting sqref="U62:V62">
    <cfRule type="containsText" dxfId="52" priority="9" operator="containsText" text="n/a">
      <formula>NOT(ISERROR(SEARCH("n/a",U62)))</formula>
    </cfRule>
  </conditionalFormatting>
  <conditionalFormatting sqref="V36:V39">
    <cfRule type="containsText" dxfId="51" priority="29" operator="containsText" text="Rate">
      <formula>NOT(ISERROR(SEARCH("Rate",V36)))</formula>
    </cfRule>
    <cfRule type="expression" dxfId="50" priority="30">
      <formula>Output_NetPrice_JM &lt; 99</formula>
    </cfRule>
    <cfRule type="expression" dxfId="49" priority="31">
      <formula>Output_NetPrice_ExpNR &lt; 99</formula>
    </cfRule>
  </conditionalFormatting>
  <conditionalFormatting sqref="U10">
    <cfRule type="containsText" dxfId="48" priority="1" operator="containsText" text="Rate">
      <formula>NOT(ISERROR(SEARCH("Rate",U10)))</formula>
    </cfRule>
    <cfRule type="expression" dxfId="47" priority="2">
      <formula>Output_NetPrice_JM &lt; 99</formula>
    </cfRule>
    <cfRule type="expression" dxfId="46" priority="3">
      <formula>Output_NetPrice_ExpNR &lt; 99</formula>
    </cfRule>
  </conditionalFormatting>
  <pageMargins left="0.7" right="0.7" top="0.75" bottom="0.75" header="0.3" footer="0.3"/>
  <pageSetup paperSize="3" scale="18" orientation="landscape" r:id="rId1"/>
  <drawing r:id="rId2"/>
  <extLst>
    <ext xmlns:x14="http://schemas.microsoft.com/office/spreadsheetml/2009/9/main" uri="{CCE6A557-97BC-4b89-ADB6-D9C93CAAB3DF}">
      <x14:dataValidations xmlns:xm="http://schemas.microsoft.com/office/excel/2006/main" count="23">
        <x14:dataValidation type="list" allowBlank="1" showInputMessage="1" showErrorMessage="1" xr:uid="{0E7E8E76-F7A6-4F6A-8B35-89B9E1DD868F}">
          <x14:formula1>
            <xm:f>'Feed(WS)'!$S$2:$S$4</xm:f>
          </x14:formula1>
          <xm:sqref>U32</xm:sqref>
        </x14:dataValidation>
        <x14:dataValidation type="list" allowBlank="1" showInputMessage="1" showErrorMessage="1" xr:uid="{1F40A3F3-0550-4B42-BA1A-A289E5BDE8A8}">
          <x14:formula1>
            <xm:f>'Feed(WS)'!$R$2:$R$5</xm:f>
          </x14:formula1>
          <xm:sqref>U31</xm:sqref>
        </x14:dataValidation>
        <x14:dataValidation type="list" allowBlank="1" showInputMessage="1" showErrorMessage="1" xr:uid="{B130576C-779A-4A15-83CE-E74E00A20EE8}">
          <x14:formula1>
            <xm:f>'Feed(WS)'!$N$2:$N$6</xm:f>
          </x14:formula1>
          <xm:sqref>U30</xm:sqref>
        </x14:dataValidation>
        <x14:dataValidation type="list" allowBlank="1" showInputMessage="1" showErrorMessage="1" xr:uid="{106A4E4A-B831-452D-B411-F8518FCB7A84}">
          <x14:formula1>
            <xm:f>'Feed(WS)'!$T$2:$T$17</xm:f>
          </x14:formula1>
          <xm:sqref>U29</xm:sqref>
        </x14:dataValidation>
        <x14:dataValidation type="list" allowBlank="1" showInputMessage="1" showErrorMessage="1" xr:uid="{B1A22AC8-3C5D-42E7-B28F-B40B8493938B}">
          <x14:formula1>
            <xm:f>'Feed(WS)'!$J$14:$J$16</xm:f>
          </x14:formula1>
          <xm:sqref>U28</xm:sqref>
        </x14:dataValidation>
        <x14:dataValidation type="list" allowBlank="1" showInputMessage="1" showErrorMessage="1" xr:uid="{93CACC64-A899-4D89-A2A0-422975C9C549}">
          <x14:formula1>
            <xm:f>'Feed(WS)'!$I$2:$I$4</xm:f>
          </x14:formula1>
          <xm:sqref>U26</xm:sqref>
        </x14:dataValidation>
        <x14:dataValidation type="list" allowBlank="1" showInputMessage="1" showErrorMessage="1" xr:uid="{63B6B5E3-3B14-43BF-95F3-102640DE699D}">
          <x14:formula1>
            <xm:f>'Feed(WS)'!$M$2:$M$13</xm:f>
          </x14:formula1>
          <xm:sqref>U25</xm:sqref>
        </x14:dataValidation>
        <x14:dataValidation type="list" allowBlank="1" showInputMessage="1" showErrorMessage="1" xr:uid="{5E967D8E-F541-45DB-A467-B7AAC96500C7}">
          <x14:formula1>
            <xm:f>'Feed(WS)'!$L$2:$L$6</xm:f>
          </x14:formula1>
          <xm:sqref>U23</xm:sqref>
        </x14:dataValidation>
        <x14:dataValidation type="list" allowBlank="1" showInputMessage="1" showErrorMessage="1" xr:uid="{C0F87CD1-6BB5-4B54-9547-0DC4898DC049}">
          <x14:formula1>
            <xm:f>'Feed(WS)'!$P$2:$P$7</xm:f>
          </x14:formula1>
          <xm:sqref>U19</xm:sqref>
        </x14:dataValidation>
        <x14:dataValidation type="list" allowBlank="1" showInputMessage="1" showErrorMessage="1" xr:uid="{8F87BF99-5749-4182-98AF-6E640BEF48AF}">
          <x14:formula1>
            <xm:f>'Feed(WS)'!$E$14:$E$19</xm:f>
          </x14:formula1>
          <xm:sqref>U16</xm:sqref>
        </x14:dataValidation>
        <x14:dataValidation type="list" allowBlank="1" showInputMessage="1" showErrorMessage="1" xr:uid="{FC348328-B902-4C18-85FA-018F1DE8D719}">
          <x14:formula1>
            <xm:f>'Feed(WS)'!$D$14:$D$20</xm:f>
          </x14:formula1>
          <xm:sqref>U15</xm:sqref>
        </x14:dataValidation>
        <x14:dataValidation type="list" allowBlank="1" showInputMessage="1" showErrorMessage="1" xr:uid="{121E6EAE-1FE3-4AE4-A2BC-0D2CB577095B}">
          <x14:formula1>
            <xm:f>'Feed(WS)'!$C$14:$C$18</xm:f>
          </x14:formula1>
          <xm:sqref>U14</xm:sqref>
        </x14:dataValidation>
        <x14:dataValidation type="list" allowBlank="1" showInputMessage="1" showErrorMessage="1" xr:uid="{1B1F062B-31BA-4A1A-AB61-B2B922FAB996}">
          <x14:formula1>
            <xm:f>'Feed(WS)'!$A$2:$A$12</xm:f>
          </x14:formula1>
          <xm:sqref>U12</xm:sqref>
        </x14:dataValidation>
        <x14:dataValidation type="list" allowBlank="1" showInputMessage="1" showErrorMessage="1" xr:uid="{19E215E2-6FB2-4705-9FDA-79517BB5A082}">
          <x14:formula1>
            <xm:f>'Feed(WS)'!$B$2:$B$11</xm:f>
          </x14:formula1>
          <xm:sqref>U11</xm:sqref>
        </x14:dataValidation>
        <x14:dataValidation type="list" allowBlank="1" showInputMessage="1" showErrorMessage="1" xr:uid="{5DC06D96-340C-4539-9482-AD3125AED0FD}">
          <x14:formula1>
            <xm:f>'Feed(WS)'!$N$85:$N$124</xm:f>
          </x14:formula1>
          <xm:sqref>U10</xm:sqref>
        </x14:dataValidation>
        <x14:dataValidation type="list" allowBlank="1" showInputMessage="1" showErrorMessage="1" xr:uid="{CF577228-D283-4CE1-841B-4C95398BAB91}">
          <x14:formula1>
            <xm:f>'Feed(WS)'!$K$2:$K$9</xm:f>
          </x14:formula1>
          <xm:sqref>U24</xm:sqref>
        </x14:dataValidation>
        <x14:dataValidation type="list" allowBlank="1" showInputMessage="1" showErrorMessage="1" xr:uid="{02132BCB-A135-4ED1-B9B2-5EA9EEABAA86}">
          <x14:formula1>
            <xm:f>'Feed(WS)'!$C$3:$C$4</xm:f>
          </x14:formula1>
          <xm:sqref>U13</xm:sqref>
        </x14:dataValidation>
        <x14:dataValidation type="list" allowBlank="1" showInputMessage="1" showErrorMessage="1" xr:uid="{7CC5C2C3-7092-4CEF-84DF-7B25C1EFA0A4}">
          <x14:formula1>
            <xm:f>'Feed(WS)'!$D$2:$D$4</xm:f>
          </x14:formula1>
          <xm:sqref>U17</xm:sqref>
        </x14:dataValidation>
        <x14:dataValidation type="list" allowBlank="1" showInputMessage="1" showErrorMessage="1" xr:uid="{36A5C42B-691A-43A4-8656-438AF1D43F27}">
          <x14:formula1>
            <xm:f>'Feed(WS)'!$E$2:$E$8</xm:f>
          </x14:formula1>
          <xm:sqref>U18</xm:sqref>
        </x14:dataValidation>
        <x14:dataValidation type="list" allowBlank="1" showInputMessage="1" showErrorMessage="1" xr:uid="{BB5B2EE1-37F3-4625-B37D-62326363B711}">
          <x14:formula1>
            <xm:f>'Feed(WS)'!$F$2:$F$5</xm:f>
          </x14:formula1>
          <xm:sqref>U20</xm:sqref>
        </x14:dataValidation>
        <x14:dataValidation type="list" allowBlank="1" showInputMessage="1" showErrorMessage="1" xr:uid="{0F4EC55E-EFB8-40B0-B5EF-94ED94A896D4}">
          <x14:formula1>
            <xm:f>'Feed(WS)'!$J$2:$J$7</xm:f>
          </x14:formula1>
          <xm:sqref>U22</xm:sqref>
        </x14:dataValidation>
        <x14:dataValidation type="list" allowBlank="1" showInputMessage="1" showErrorMessage="1" xr:uid="{F3D90BA8-7D44-437D-8E4B-3BCE93725383}">
          <x14:formula1>
            <xm:f>'Feed(WS)'!$H$2:$H$14</xm:f>
          </x14:formula1>
          <xm:sqref>U27</xm:sqref>
        </x14:dataValidation>
        <x14:dataValidation type="list" allowBlank="1" showInputMessage="1" showErrorMessage="1" xr:uid="{6CEB14CD-0B5A-4CEA-9C4B-BC519B00BE30}">
          <x14:formula1>
            <xm:f>'Feed(WS)'!$G$2:$G$13</xm:f>
          </x14:formula1>
          <xm:sqref>U21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095481-26BA-47A6-98F8-C8268C93C80A}">
  <sheetPr codeName="Sheet9">
    <tabColor rgb="FF7030A0"/>
    <pageSetUpPr fitToPage="1"/>
  </sheetPr>
  <dimension ref="A1:AI105"/>
  <sheetViews>
    <sheetView showGridLines="0" zoomScaleNormal="100" workbookViewId="0">
      <selection activeCell="F23" sqref="F23:G23"/>
    </sheetView>
  </sheetViews>
  <sheetFormatPr defaultColWidth="9.140625" defaultRowHeight="15" x14ac:dyDescent="0.25"/>
  <cols>
    <col min="1" max="1" width="2.85546875" style="1" customWidth="1"/>
    <col min="2" max="2" width="14.85546875" style="1" customWidth="1"/>
    <col min="3" max="4" width="17.7109375" style="1" customWidth="1"/>
    <col min="5" max="5" width="3.42578125" style="1" customWidth="1"/>
    <col min="6" max="6" width="15.5703125" style="1" customWidth="1"/>
    <col min="7" max="7" width="15.28515625" style="1" customWidth="1"/>
    <col min="8" max="8" width="9.5703125" style="1" customWidth="1"/>
    <col min="9" max="10" width="8.85546875" style="1" customWidth="1"/>
    <col min="11" max="11" width="9.85546875" style="1" customWidth="1"/>
    <col min="12" max="12" width="10.42578125" style="1" customWidth="1"/>
    <col min="13" max="13" width="9.28515625" style="1" customWidth="1"/>
    <col min="14" max="14" width="9.140625" style="1"/>
    <col min="15" max="15" width="9.140625" style="1" customWidth="1"/>
    <col min="16" max="16" width="3.7109375" style="1" customWidth="1"/>
    <col min="17" max="17" width="21.28515625" style="1" customWidth="1"/>
    <col min="18" max="18" width="12.28515625" style="1" customWidth="1"/>
    <col min="19" max="19" width="21.140625" style="1" customWidth="1"/>
    <col min="20" max="20" width="18.42578125" style="1" customWidth="1"/>
    <col min="21" max="21" width="3.28515625" style="1" customWidth="1"/>
    <col min="22" max="22" width="12.28515625" style="1" customWidth="1"/>
    <col min="23" max="23" width="11" style="1" customWidth="1"/>
    <col min="24" max="25" width="9.140625" style="1"/>
    <col min="26" max="26" width="9.42578125" style="1" customWidth="1"/>
    <col min="27" max="27" width="17.140625" style="1" customWidth="1"/>
    <col min="28" max="16384" width="9.140625" style="1"/>
  </cols>
  <sheetData>
    <row r="1" spans="1:22" ht="17.45" customHeight="1" x14ac:dyDescent="0.25">
      <c r="I1" s="113"/>
      <c r="J1" s="113"/>
      <c r="K1" s="113"/>
      <c r="L1" s="768" t="s">
        <v>0</v>
      </c>
      <c r="M1" s="768"/>
      <c r="N1" s="768"/>
      <c r="O1" s="768"/>
      <c r="P1" s="113"/>
      <c r="Q1" s="113"/>
      <c r="R1" s="113"/>
      <c r="S1" s="3"/>
      <c r="T1" s="3"/>
      <c r="U1" s="3"/>
    </row>
    <row r="2" spans="1:22" ht="17.45" customHeight="1" x14ac:dyDescent="0.25">
      <c r="I2" s="114"/>
      <c r="J2" s="114"/>
      <c r="K2" s="114"/>
      <c r="L2" s="769" t="s">
        <v>1</v>
      </c>
      <c r="M2" s="769"/>
      <c r="N2" s="769"/>
      <c r="O2" s="769"/>
      <c r="P2" s="114"/>
      <c r="Q2" s="113"/>
      <c r="R2" s="113"/>
      <c r="S2" s="3"/>
      <c r="T2" s="3"/>
      <c r="U2" s="3"/>
      <c r="V2" s="115"/>
    </row>
    <row r="3" spans="1:22" ht="17.45" customHeight="1" x14ac:dyDescent="0.25">
      <c r="I3" s="114"/>
      <c r="J3" s="114"/>
      <c r="K3" s="114"/>
      <c r="L3" s="769" t="s">
        <v>2</v>
      </c>
      <c r="M3" s="769"/>
      <c r="N3" s="769"/>
      <c r="O3" s="769"/>
      <c r="P3" s="114"/>
      <c r="Q3" s="114"/>
      <c r="R3" s="114"/>
      <c r="V3" s="116"/>
    </row>
    <row r="4" spans="1:22" ht="17.45" customHeight="1" x14ac:dyDescent="0.25">
      <c r="H4" s="9"/>
      <c r="I4" s="9"/>
      <c r="J4" s="9"/>
      <c r="K4" s="117"/>
      <c r="L4" s="118"/>
      <c r="M4" s="118"/>
      <c r="N4" s="666"/>
      <c r="O4" s="666"/>
      <c r="R4" s="3"/>
      <c r="S4" s="3"/>
    </row>
    <row r="5" spans="1:22" ht="17.45" customHeight="1" thickBot="1" x14ac:dyDescent="0.3">
      <c r="H5" s="9"/>
      <c r="I5" s="9"/>
      <c r="J5" s="9"/>
      <c r="K5" s="10"/>
      <c r="L5" s="666" t="s">
        <v>3</v>
      </c>
      <c r="M5" s="666"/>
      <c r="N5" s="666">
        <v>45869</v>
      </c>
      <c r="O5" s="666"/>
      <c r="R5" s="3"/>
      <c r="S5" s="3"/>
    </row>
    <row r="6" spans="1:22" ht="17.45" customHeight="1" x14ac:dyDescent="0.25">
      <c r="A6" s="276"/>
      <c r="B6" s="974" t="s">
        <v>4</v>
      </c>
      <c r="C6" s="998"/>
      <c r="D6" s="975"/>
      <c r="E6" s="358"/>
      <c r="F6" s="974" t="s">
        <v>176</v>
      </c>
      <c r="G6" s="998"/>
      <c r="H6" s="998"/>
      <c r="I6" s="998"/>
      <c r="J6" s="998"/>
      <c r="K6" s="998"/>
      <c r="L6" s="998"/>
      <c r="M6" s="998"/>
      <c r="N6" s="998"/>
      <c r="O6" s="975"/>
      <c r="P6" s="276"/>
      <c r="Q6" s="978" t="s">
        <v>6</v>
      </c>
      <c r="R6" s="979"/>
      <c r="S6" s="979"/>
      <c r="T6" s="980"/>
      <c r="U6" s="276"/>
    </row>
    <row r="7" spans="1:22" ht="17.45" customHeight="1" thickBot="1" x14ac:dyDescent="0.3">
      <c r="A7" s="276"/>
      <c r="B7" s="976"/>
      <c r="C7" s="999"/>
      <c r="D7" s="977"/>
      <c r="E7" s="359"/>
      <c r="F7" s="976"/>
      <c r="G7" s="999"/>
      <c r="H7" s="999"/>
      <c r="I7" s="999"/>
      <c r="J7" s="999"/>
      <c r="K7" s="999"/>
      <c r="L7" s="999"/>
      <c r="M7" s="999"/>
      <c r="N7" s="999"/>
      <c r="O7" s="977"/>
      <c r="P7" s="276"/>
      <c r="Q7" s="984"/>
      <c r="R7" s="985"/>
      <c r="S7" s="985"/>
      <c r="T7" s="986"/>
      <c r="U7" s="276"/>
    </row>
    <row r="8" spans="1:22" ht="15.75" customHeight="1" x14ac:dyDescent="0.25">
      <c r="A8" s="276"/>
      <c r="B8" s="343"/>
      <c r="C8" s="344"/>
      <c r="D8" s="345"/>
      <c r="E8" s="275"/>
      <c r="F8" s="343"/>
      <c r="G8" s="344"/>
      <c r="H8" s="344"/>
      <c r="I8" s="344"/>
      <c r="J8" s="344"/>
      <c r="K8" s="344"/>
      <c r="L8" s="344"/>
      <c r="M8" s="344"/>
      <c r="N8" s="344"/>
      <c r="O8" s="345"/>
      <c r="P8" s="276"/>
      <c r="Q8" s="305"/>
      <c r="R8" s="307"/>
      <c r="S8" s="307"/>
      <c r="T8" s="306"/>
      <c r="U8" s="276"/>
      <c r="V8" s="46"/>
    </row>
    <row r="9" spans="1:22" ht="15.75" customHeight="1" thickBot="1" x14ac:dyDescent="0.3">
      <c r="A9" s="276"/>
      <c r="B9" s="987" t="s">
        <v>7</v>
      </c>
      <c r="C9" s="1000"/>
      <c r="D9" s="988"/>
      <c r="E9" s="301"/>
      <c r="F9" s="989" t="s">
        <v>8</v>
      </c>
      <c r="G9" s="990"/>
      <c r="H9" s="990"/>
      <c r="I9" s="990"/>
      <c r="J9" s="990"/>
      <c r="K9" s="990"/>
      <c r="L9" s="990"/>
      <c r="M9" s="990"/>
      <c r="N9" s="990"/>
      <c r="O9" s="991"/>
      <c r="P9" s="276"/>
      <c r="Q9" s="308"/>
      <c r="R9" s="309"/>
      <c r="S9" s="310" t="s">
        <v>9</v>
      </c>
      <c r="T9" s="311"/>
      <c r="U9" s="276"/>
    </row>
    <row r="10" spans="1:22" ht="15" customHeight="1" x14ac:dyDescent="0.25">
      <c r="A10" s="276"/>
      <c r="B10" s="312" t="s">
        <v>10</v>
      </c>
      <c r="C10" s="313" t="s">
        <v>177</v>
      </c>
      <c r="D10" s="314" t="s">
        <v>178</v>
      </c>
      <c r="E10" s="297"/>
      <c r="F10" s="925" t="s">
        <v>12</v>
      </c>
      <c r="G10" s="926"/>
      <c r="H10" s="313" t="s">
        <v>13</v>
      </c>
      <c r="I10" s="313" t="s">
        <v>14</v>
      </c>
      <c r="J10" s="313" t="s">
        <v>15</v>
      </c>
      <c r="K10" s="313" t="s">
        <v>16</v>
      </c>
      <c r="L10" s="313" t="s">
        <v>17</v>
      </c>
      <c r="M10" s="313" t="s">
        <v>18</v>
      </c>
      <c r="N10" s="313" t="s">
        <v>19</v>
      </c>
      <c r="O10" s="314" t="s">
        <v>20</v>
      </c>
      <c r="P10" s="276"/>
      <c r="Q10" s="927" t="s">
        <v>22</v>
      </c>
      <c r="R10" s="928"/>
      <c r="S10" s="124">
        <v>6.25</v>
      </c>
      <c r="T10" s="341"/>
      <c r="U10" s="276"/>
    </row>
    <row r="11" spans="1:22" ht="14.25" customHeight="1" x14ac:dyDescent="0.25">
      <c r="A11" s="276"/>
      <c r="B11" s="267">
        <v>6.25</v>
      </c>
      <c r="C11" s="340"/>
      <c r="D11" s="268"/>
      <c r="E11" s="281"/>
      <c r="F11" s="917" t="s">
        <v>23</v>
      </c>
      <c r="G11" s="918">
        <v>0</v>
      </c>
      <c r="H11" s="29">
        <v>0.625</v>
      </c>
      <c r="I11" s="29">
        <v>0.5</v>
      </c>
      <c r="J11" s="29">
        <v>0.5</v>
      </c>
      <c r="K11" s="29">
        <v>0.5</v>
      </c>
      <c r="L11" s="29">
        <v>0.375</v>
      </c>
      <c r="M11" s="29">
        <v>0.125</v>
      </c>
      <c r="N11" s="29">
        <v>-0.125</v>
      </c>
      <c r="O11" s="30">
        <v>-1.75</v>
      </c>
      <c r="P11" s="276"/>
      <c r="Q11" s="909" t="s">
        <v>24</v>
      </c>
      <c r="R11" s="910"/>
      <c r="S11" s="32" t="s">
        <v>32</v>
      </c>
      <c r="T11" s="342"/>
      <c r="U11" s="276"/>
    </row>
    <row r="12" spans="1:22" ht="15" customHeight="1" x14ac:dyDescent="0.25">
      <c r="A12" s="276"/>
      <c r="B12" s="267">
        <v>6.375</v>
      </c>
      <c r="C12" s="269"/>
      <c r="D12" s="268"/>
      <c r="E12" s="281"/>
      <c r="F12" s="917" t="s">
        <v>25</v>
      </c>
      <c r="G12" s="918">
        <v>0</v>
      </c>
      <c r="H12" s="35">
        <v>0.5</v>
      </c>
      <c r="I12" s="35">
        <v>0.5</v>
      </c>
      <c r="J12" s="29">
        <v>0.5</v>
      </c>
      <c r="K12" s="35">
        <v>0.375</v>
      </c>
      <c r="L12" s="35">
        <v>0.25</v>
      </c>
      <c r="M12" s="29">
        <v>0</v>
      </c>
      <c r="N12" s="29">
        <v>-0.375</v>
      </c>
      <c r="O12" s="30">
        <v>-2</v>
      </c>
      <c r="P12" s="276"/>
      <c r="Q12" s="909" t="s">
        <v>26</v>
      </c>
      <c r="R12" s="910"/>
      <c r="S12" s="32" t="s">
        <v>36</v>
      </c>
      <c r="T12" s="342" t="b">
        <f>IF(ISNUMBER(MATCH($S$11,'Feed(WS)'!$B$3:$B$11,0)),
   INDEX($H$11:$O$19,MATCH($S$12,$F$11:$F$19,0),MATCH($S$11,$H$10:$O$10,0)))</f>
        <v>0</v>
      </c>
      <c r="U12" s="276"/>
    </row>
    <row r="13" spans="1:22" ht="15.75" customHeight="1" x14ac:dyDescent="0.25">
      <c r="A13" s="276"/>
      <c r="B13" s="267">
        <v>6.4989999999999997</v>
      </c>
      <c r="C13" s="437">
        <v>99.0625</v>
      </c>
      <c r="D13" s="268"/>
      <c r="E13" s="281"/>
      <c r="F13" s="917" t="s">
        <v>27</v>
      </c>
      <c r="G13" s="918">
        <v>0</v>
      </c>
      <c r="H13" s="35">
        <v>0.5</v>
      </c>
      <c r="I13" s="35">
        <v>0.375</v>
      </c>
      <c r="J13" s="29">
        <v>0.375</v>
      </c>
      <c r="K13" s="35">
        <v>0.25</v>
      </c>
      <c r="L13" s="35">
        <v>0</v>
      </c>
      <c r="M13" s="29">
        <v>-0.375</v>
      </c>
      <c r="N13" s="29">
        <v>-0.5</v>
      </c>
      <c r="O13" s="30">
        <v>-2.25</v>
      </c>
      <c r="P13" s="276"/>
      <c r="Q13" s="909" t="s">
        <v>28</v>
      </c>
      <c r="R13" s="910"/>
      <c r="S13" s="32" t="s">
        <v>182</v>
      </c>
      <c r="T13" s="342" t="e">
        <f>IF(OR($S$11="", $S$13=""), "",
   INDEX($H$23:$O$28,
         MATCH($S$13,$F$23:$F$28,0),
         MATCH($S$11,$H$10:$O$10,0)))</f>
        <v>#N/A</v>
      </c>
      <c r="U13" s="276"/>
    </row>
    <row r="14" spans="1:22" ht="15.75" customHeight="1" x14ac:dyDescent="0.25">
      <c r="A14" s="276"/>
      <c r="B14" s="267">
        <v>6.625</v>
      </c>
      <c r="C14" s="29">
        <v>99.53125</v>
      </c>
      <c r="D14" s="268"/>
      <c r="E14" s="281"/>
      <c r="F14" s="917" t="s">
        <v>30</v>
      </c>
      <c r="G14" s="918">
        <v>0</v>
      </c>
      <c r="H14" s="35">
        <v>0.375</v>
      </c>
      <c r="I14" s="35">
        <v>0.25</v>
      </c>
      <c r="J14" s="29">
        <v>0.25</v>
      </c>
      <c r="K14" s="35">
        <v>0</v>
      </c>
      <c r="L14" s="35">
        <v>-0.375</v>
      </c>
      <c r="M14" s="29">
        <v>-0.5</v>
      </c>
      <c r="N14" s="29">
        <v>-1</v>
      </c>
      <c r="O14" s="30">
        <v>-2.75</v>
      </c>
      <c r="P14" s="276"/>
      <c r="Q14" s="909" t="s">
        <v>31</v>
      </c>
      <c r="R14" s="910"/>
      <c r="S14" s="32" t="s">
        <v>32</v>
      </c>
      <c r="T14" s="342">
        <f>'Feed(WS)'!$O$180</f>
        <v>0</v>
      </c>
      <c r="U14" s="276"/>
      <c r="V14" s="33"/>
    </row>
    <row r="15" spans="1:22" ht="15" customHeight="1" x14ac:dyDescent="0.25">
      <c r="A15" s="276"/>
      <c r="B15" s="267">
        <v>6.75</v>
      </c>
      <c r="C15" s="29">
        <v>99.96875</v>
      </c>
      <c r="D15" s="268"/>
      <c r="E15" s="281"/>
      <c r="F15" s="917" t="s">
        <v>33</v>
      </c>
      <c r="G15" s="918">
        <v>0</v>
      </c>
      <c r="H15" s="35">
        <v>0.25</v>
      </c>
      <c r="I15" s="35">
        <v>0</v>
      </c>
      <c r="J15" s="29">
        <v>0</v>
      </c>
      <c r="K15" s="35">
        <v>-0.375</v>
      </c>
      <c r="L15" s="35">
        <v>-0.5</v>
      </c>
      <c r="M15" s="29">
        <v>-1</v>
      </c>
      <c r="N15" s="29">
        <v>-1.5</v>
      </c>
      <c r="O15" s="268" t="s">
        <v>643</v>
      </c>
      <c r="P15" s="276"/>
      <c r="Q15" s="909" t="s">
        <v>34</v>
      </c>
      <c r="R15" s="910"/>
      <c r="S15" s="32" t="s">
        <v>35</v>
      </c>
      <c r="T15" s="342" t="e">
        <f>IF(OR($S$11="", $S$15=""), "",
   INDEX($H$71:$O$75,
         MATCH($S$15,$F$71:$F$75,0),
         MATCH($S$11,$H$10:$O$10,0)))</f>
        <v>#N/A</v>
      </c>
      <c r="U15" s="276"/>
      <c r="V15" s="33"/>
    </row>
    <row r="16" spans="1:22" ht="14.25" customHeight="1" x14ac:dyDescent="0.25">
      <c r="A16" s="276"/>
      <c r="B16" s="267">
        <v>6.875</v>
      </c>
      <c r="C16" s="29">
        <v>100.390625</v>
      </c>
      <c r="D16" s="268"/>
      <c r="E16" s="281"/>
      <c r="F16" s="917" t="s">
        <v>36</v>
      </c>
      <c r="G16" s="918">
        <v>0</v>
      </c>
      <c r="H16" s="35">
        <v>0</v>
      </c>
      <c r="I16" s="35">
        <v>-0.375</v>
      </c>
      <c r="J16" s="29">
        <v>-0.375</v>
      </c>
      <c r="K16" s="35">
        <v>-0.5</v>
      </c>
      <c r="L16" s="35">
        <v>-1</v>
      </c>
      <c r="M16" s="29">
        <v>-1.5</v>
      </c>
      <c r="N16" s="29">
        <v>-2.5</v>
      </c>
      <c r="O16" s="268" t="s">
        <v>643</v>
      </c>
      <c r="P16" s="276"/>
      <c r="Q16" s="909" t="s">
        <v>37</v>
      </c>
      <c r="R16" s="910"/>
      <c r="S16" s="32" t="s">
        <v>38</v>
      </c>
      <c r="T16" s="342">
        <f>IF(OR($S$11="", $S$16="", $S$16="NONE"),0,
   INDEX($H$77:$O$80,
         MATCH($S$16,$F$77:$F$80,0),
         MATCH($S$11,$H$10:$O$10,0)))</f>
        <v>0</v>
      </c>
      <c r="U16" s="276"/>
      <c r="V16" s="33"/>
    </row>
    <row r="17" spans="1:26" ht="15" customHeight="1" x14ac:dyDescent="0.25">
      <c r="A17" s="276"/>
      <c r="B17" s="267">
        <v>6.9989999999999997</v>
      </c>
      <c r="C17" s="29">
        <v>100.796875</v>
      </c>
      <c r="D17" s="268"/>
      <c r="E17" s="281"/>
      <c r="F17" s="917" t="s">
        <v>39</v>
      </c>
      <c r="G17" s="918">
        <v>0</v>
      </c>
      <c r="H17" s="35">
        <v>-0.5</v>
      </c>
      <c r="I17" s="35">
        <v>-0.5</v>
      </c>
      <c r="J17" s="29">
        <v>-0.5</v>
      </c>
      <c r="K17" s="35">
        <v>-1</v>
      </c>
      <c r="L17" s="35">
        <v>-1.5</v>
      </c>
      <c r="M17" s="29">
        <v>-2.25</v>
      </c>
      <c r="N17" s="269" t="s">
        <v>643</v>
      </c>
      <c r="O17" s="268" t="s">
        <v>643</v>
      </c>
      <c r="P17" s="276"/>
      <c r="Q17" s="909" t="s">
        <v>40</v>
      </c>
      <c r="R17" s="910"/>
      <c r="S17" s="32" t="s">
        <v>177</v>
      </c>
      <c r="T17" s="342">
        <v>0</v>
      </c>
      <c r="U17" s="276"/>
      <c r="V17" s="33"/>
    </row>
    <row r="18" spans="1:26" ht="15" customHeight="1" x14ac:dyDescent="0.25">
      <c r="A18" s="276"/>
      <c r="B18" s="267">
        <v>7.125</v>
      </c>
      <c r="C18" s="29">
        <v>101.171875</v>
      </c>
      <c r="D18" s="268"/>
      <c r="E18" s="281"/>
      <c r="F18" s="917" t="s">
        <v>41</v>
      </c>
      <c r="G18" s="918">
        <v>0</v>
      </c>
      <c r="H18" s="35">
        <v>-1</v>
      </c>
      <c r="I18" s="35">
        <v>-1.25</v>
      </c>
      <c r="J18" s="29">
        <v>-1.25</v>
      </c>
      <c r="K18" s="35">
        <v>-1.75</v>
      </c>
      <c r="L18" s="35">
        <v>-2.25</v>
      </c>
      <c r="M18" s="29">
        <v>-3.25</v>
      </c>
      <c r="N18" s="269" t="s">
        <v>643</v>
      </c>
      <c r="O18" s="268" t="s">
        <v>643</v>
      </c>
      <c r="P18" s="276"/>
      <c r="Q18" s="909" t="s">
        <v>42</v>
      </c>
      <c r="R18" s="910"/>
      <c r="S18" s="32" t="s">
        <v>211</v>
      </c>
      <c r="T18" s="342">
        <f>IF(OR($S$11="", $S$18="", $S$18="None in this Dropdown"),0,
   INDEX($H$46:$O$49,
         MATCH($S$18,$F$46:$F$49,0),
         MATCH($S$11,$H$10:$O$10,0)))</f>
        <v>0</v>
      </c>
      <c r="U18" s="276"/>
      <c r="V18" s="33"/>
    </row>
    <row r="19" spans="1:26" ht="15.75" customHeight="1" x14ac:dyDescent="0.25">
      <c r="A19" s="276"/>
      <c r="B19" s="267">
        <v>7.25</v>
      </c>
      <c r="C19" s="29">
        <v>101.546875</v>
      </c>
      <c r="D19" s="268"/>
      <c r="E19" s="281"/>
      <c r="F19" s="917" t="s">
        <v>43</v>
      </c>
      <c r="G19" s="918">
        <v>0</v>
      </c>
      <c r="H19" s="35">
        <v>-1.75</v>
      </c>
      <c r="I19" s="35">
        <v>-2</v>
      </c>
      <c r="J19" s="29">
        <v>-2</v>
      </c>
      <c r="K19" s="35">
        <v>-2.5</v>
      </c>
      <c r="L19" s="35">
        <v>-3</v>
      </c>
      <c r="M19" s="269" t="s">
        <v>643</v>
      </c>
      <c r="N19" s="269" t="s">
        <v>643</v>
      </c>
      <c r="O19" s="268" t="s">
        <v>643</v>
      </c>
      <c r="P19" s="276"/>
      <c r="Q19" s="909" t="s">
        <v>44</v>
      </c>
      <c r="R19" s="910"/>
      <c r="S19" s="32" t="s">
        <v>217</v>
      </c>
      <c r="T19" s="342">
        <f>'Feed(WS)'!$R$175</f>
        <v>0</v>
      </c>
      <c r="U19" s="276"/>
      <c r="V19" s="33"/>
    </row>
    <row r="20" spans="1:26" ht="15.75" customHeight="1" x14ac:dyDescent="0.25">
      <c r="A20" s="276"/>
      <c r="B20" s="267">
        <v>7.375</v>
      </c>
      <c r="C20" s="29">
        <v>101.921875</v>
      </c>
      <c r="D20" s="268"/>
      <c r="E20" s="281"/>
      <c r="F20" s="925"/>
      <c r="G20" s="926"/>
      <c r="H20" s="313"/>
      <c r="I20" s="313"/>
      <c r="J20" s="313"/>
      <c r="K20" s="313"/>
      <c r="L20" s="313"/>
      <c r="M20" s="313"/>
      <c r="N20" s="313"/>
      <c r="O20" s="314"/>
      <c r="P20" s="276"/>
      <c r="Q20" s="909" t="s">
        <v>46</v>
      </c>
      <c r="R20" s="910"/>
      <c r="S20" s="32" t="s">
        <v>32</v>
      </c>
      <c r="T20" s="342" t="e">
        <f>IF(OR($S$11="", $S$20=""), "",
   INDEX($H$36:$O$44,
         MATCH($S$20,$F$36:$F$44,0),
         MATCH($S$11,$H$10:$O$10,0)))</f>
        <v>#N/A</v>
      </c>
      <c r="U20" s="276"/>
      <c r="V20" s="33"/>
      <c r="Z20" s="127"/>
    </row>
    <row r="21" spans="1:26" ht="15.75" customHeight="1" x14ac:dyDescent="0.25">
      <c r="A21" s="276"/>
      <c r="B21" s="267">
        <v>7.4989999999999997</v>
      </c>
      <c r="C21" s="29">
        <v>102.265625</v>
      </c>
      <c r="D21" s="30">
        <v>98.5</v>
      </c>
      <c r="E21" s="281"/>
      <c r="F21" s="958"/>
      <c r="G21" s="959"/>
      <c r="H21" s="959"/>
      <c r="I21" s="959"/>
      <c r="J21" s="959"/>
      <c r="K21" s="959"/>
      <c r="L21" s="959"/>
      <c r="M21" s="959"/>
      <c r="N21" s="959"/>
      <c r="O21" s="960"/>
      <c r="P21" s="276"/>
      <c r="Q21" s="909" t="s">
        <v>47</v>
      </c>
      <c r="R21" s="910"/>
      <c r="S21" s="32" t="s">
        <v>69</v>
      </c>
      <c r="T21" s="342" t="e">
        <f>IF(OR($S$11="", $S$21=""), "",
   INDEX($H$30:$O$34,
         MATCH($S$21,$F$30:$F$34,0),
         MATCH($S$11,$H$10:$O$10,0)))</f>
        <v>#N/A</v>
      </c>
      <c r="U21" s="276"/>
      <c r="V21" s="33"/>
    </row>
    <row r="22" spans="1:26" x14ac:dyDescent="0.25">
      <c r="A22" s="276"/>
      <c r="B22" s="267">
        <v>7.625</v>
      </c>
      <c r="C22" s="29">
        <v>102.578125</v>
      </c>
      <c r="D22" s="30">
        <v>99</v>
      </c>
      <c r="E22" s="281"/>
      <c r="F22" s="945" t="s">
        <v>28</v>
      </c>
      <c r="G22" s="968"/>
      <c r="H22" s="968"/>
      <c r="I22" s="968"/>
      <c r="J22" s="968"/>
      <c r="K22" s="968"/>
      <c r="L22" s="968"/>
      <c r="M22" s="968"/>
      <c r="N22" s="968"/>
      <c r="O22" s="946"/>
      <c r="P22" s="276"/>
      <c r="Q22" s="909" t="s">
        <v>48</v>
      </c>
      <c r="R22" s="910"/>
      <c r="S22" s="32" t="s">
        <v>68</v>
      </c>
      <c r="T22" s="342">
        <v>0</v>
      </c>
      <c r="U22" s="997"/>
      <c r="V22" s="33"/>
    </row>
    <row r="23" spans="1:26" x14ac:dyDescent="0.25">
      <c r="A23" s="276"/>
      <c r="B23" s="267">
        <v>7.75</v>
      </c>
      <c r="C23" s="29">
        <v>102.859375</v>
      </c>
      <c r="D23" s="30">
        <v>99.25</v>
      </c>
      <c r="E23" s="281"/>
      <c r="F23" s="640" t="s">
        <v>180</v>
      </c>
      <c r="G23" s="641"/>
      <c r="H23" s="35">
        <v>0.5</v>
      </c>
      <c r="I23" s="35">
        <v>0.5</v>
      </c>
      <c r="J23" s="35">
        <v>0.5</v>
      </c>
      <c r="K23" s="35">
        <v>0.5</v>
      </c>
      <c r="L23" s="35">
        <v>0.5</v>
      </c>
      <c r="M23" s="35">
        <v>0.5</v>
      </c>
      <c r="N23" s="35" t="s">
        <v>643</v>
      </c>
      <c r="O23" s="36" t="s">
        <v>643</v>
      </c>
      <c r="P23" s="276"/>
      <c r="Q23" s="909" t="s">
        <v>50</v>
      </c>
      <c r="R23" s="910"/>
      <c r="S23" s="32" t="s">
        <v>239</v>
      </c>
      <c r="T23" s="342">
        <v>0</v>
      </c>
      <c r="U23" s="997"/>
      <c r="V23" s="33"/>
      <c r="Z23" s="46"/>
    </row>
    <row r="24" spans="1:26" ht="15.75" customHeight="1" x14ac:dyDescent="0.25">
      <c r="A24" s="276"/>
      <c r="B24" s="267">
        <v>7.875</v>
      </c>
      <c r="C24" s="29">
        <v>103.140625</v>
      </c>
      <c r="D24" s="30">
        <v>99.5</v>
      </c>
      <c r="E24" s="281"/>
      <c r="F24" s="640" t="s">
        <v>181</v>
      </c>
      <c r="G24" s="641"/>
      <c r="H24" s="35">
        <v>0</v>
      </c>
      <c r="I24" s="35">
        <v>0</v>
      </c>
      <c r="J24" s="35">
        <v>0</v>
      </c>
      <c r="K24" s="35">
        <v>0</v>
      </c>
      <c r="L24" s="35">
        <v>0</v>
      </c>
      <c r="M24" s="35">
        <v>0</v>
      </c>
      <c r="N24" s="35">
        <v>0</v>
      </c>
      <c r="O24" s="36">
        <v>0</v>
      </c>
      <c r="P24" s="276"/>
      <c r="Q24" s="909" t="s">
        <v>51</v>
      </c>
      <c r="R24" s="910"/>
      <c r="S24" s="32" t="s">
        <v>32</v>
      </c>
      <c r="T24" s="342">
        <f>'Feed(WS)'!$P$175</f>
        <v>0</v>
      </c>
      <c r="U24" s="997"/>
      <c r="V24" s="33"/>
      <c r="Z24" s="46"/>
    </row>
    <row r="25" spans="1:26" ht="15.75" customHeight="1" x14ac:dyDescent="0.25">
      <c r="A25" s="276"/>
      <c r="B25" s="267">
        <v>7.9989999999999997</v>
      </c>
      <c r="C25" s="29">
        <v>103.421875</v>
      </c>
      <c r="D25" s="30">
        <v>100</v>
      </c>
      <c r="E25" s="281"/>
      <c r="F25" s="640" t="s">
        <v>182</v>
      </c>
      <c r="G25" s="641"/>
      <c r="H25" s="35">
        <v>0</v>
      </c>
      <c r="I25" s="35">
        <v>0</v>
      </c>
      <c r="J25" s="35">
        <v>0</v>
      </c>
      <c r="K25" s="35">
        <v>0</v>
      </c>
      <c r="L25" s="35">
        <v>0</v>
      </c>
      <c r="M25" s="35">
        <v>0</v>
      </c>
      <c r="N25" s="35">
        <v>0</v>
      </c>
      <c r="O25" s="35">
        <v>0</v>
      </c>
      <c r="P25" s="276"/>
      <c r="Q25" s="909" t="s">
        <v>53</v>
      </c>
      <c r="R25" s="910"/>
      <c r="S25" s="32" t="s">
        <v>54</v>
      </c>
      <c r="T25" s="342" t="e">
        <f>'Feed(WS)'!$O$175</f>
        <v>#N/A</v>
      </c>
      <c r="U25" s="997"/>
      <c r="V25" s="33"/>
    </row>
    <row r="26" spans="1:26" x14ac:dyDescent="0.25">
      <c r="A26" s="276"/>
      <c r="B26" s="267">
        <v>8.125</v>
      </c>
      <c r="C26" s="29">
        <v>103.703125</v>
      </c>
      <c r="D26" s="30">
        <v>100.25</v>
      </c>
      <c r="E26" s="281"/>
      <c r="F26" s="640" t="s">
        <v>183</v>
      </c>
      <c r="G26" s="641"/>
      <c r="H26" s="35">
        <v>-2</v>
      </c>
      <c r="I26" s="35">
        <v>-2</v>
      </c>
      <c r="J26" s="35">
        <v>-2</v>
      </c>
      <c r="K26" s="35">
        <v>-2</v>
      </c>
      <c r="L26" s="35">
        <v>-2</v>
      </c>
      <c r="M26" s="35">
        <v>-2</v>
      </c>
      <c r="N26" s="35" t="s">
        <v>643</v>
      </c>
      <c r="O26" s="36" t="s">
        <v>643</v>
      </c>
      <c r="P26" s="276"/>
      <c r="Q26" s="909" t="s">
        <v>56</v>
      </c>
      <c r="R26" s="910"/>
      <c r="S26" s="32" t="s">
        <v>57</v>
      </c>
      <c r="T26" s="342">
        <f>'Feed(WS)'!$Q$180</f>
        <v>0</v>
      </c>
      <c r="U26" s="997"/>
      <c r="V26" s="33"/>
    </row>
    <row r="27" spans="1:26" ht="15.75" customHeight="1" x14ac:dyDescent="0.25">
      <c r="A27" s="276"/>
      <c r="B27" s="267">
        <v>8.25</v>
      </c>
      <c r="C27" s="29">
        <v>103.984375</v>
      </c>
      <c r="D27" s="30">
        <v>100.5</v>
      </c>
      <c r="E27" s="281"/>
      <c r="F27" s="640" t="s">
        <v>184</v>
      </c>
      <c r="G27" s="641"/>
      <c r="H27" s="35">
        <v>-3</v>
      </c>
      <c r="I27" s="35">
        <v>-3</v>
      </c>
      <c r="J27" s="35">
        <v>-3</v>
      </c>
      <c r="K27" s="35">
        <v>-3</v>
      </c>
      <c r="L27" s="35">
        <v>-3</v>
      </c>
      <c r="M27" s="35" t="s">
        <v>643</v>
      </c>
      <c r="N27" s="35" t="s">
        <v>643</v>
      </c>
      <c r="O27" s="36" t="s">
        <v>643</v>
      </c>
      <c r="P27" s="276"/>
      <c r="Q27" s="909" t="s">
        <v>59</v>
      </c>
      <c r="R27" s="910"/>
      <c r="S27" s="32" t="s">
        <v>32</v>
      </c>
      <c r="T27" s="342">
        <f>IF($S$11="", "",
   IF($S$27="Choose a Selection",0,
      INDEX($H$51:$O$62,
           MATCH($S$27,$F$51:$F$62,0),
           MATCH($S$11,$H$10:$O$10,0))))</f>
        <v>0</v>
      </c>
      <c r="U27" s="997"/>
      <c r="V27" s="33"/>
      <c r="W27" s="3"/>
      <c r="X27" s="3"/>
      <c r="Y27" s="3"/>
    </row>
    <row r="28" spans="1:26" ht="15.75" customHeight="1" x14ac:dyDescent="0.25">
      <c r="A28" s="276"/>
      <c r="B28" s="267">
        <v>8.375</v>
      </c>
      <c r="C28" s="29">
        <v>104.265625</v>
      </c>
      <c r="D28" s="30">
        <v>100.75</v>
      </c>
      <c r="E28" s="281"/>
      <c r="F28" s="640" t="s">
        <v>185</v>
      </c>
      <c r="G28" s="641"/>
      <c r="H28" s="35">
        <v>-0.5</v>
      </c>
      <c r="I28" s="35">
        <v>-0.5</v>
      </c>
      <c r="J28" s="35">
        <v>-0.5</v>
      </c>
      <c r="K28" s="35">
        <v>-0.5</v>
      </c>
      <c r="L28" s="35">
        <v>-0.5</v>
      </c>
      <c r="M28" s="35">
        <v>-0.5</v>
      </c>
      <c r="N28" s="35">
        <v>-0.5</v>
      </c>
      <c r="O28" s="36" t="s">
        <v>643</v>
      </c>
      <c r="P28" s="276"/>
      <c r="Q28" s="909" t="s">
        <v>61</v>
      </c>
      <c r="R28" s="910"/>
      <c r="S28" s="32"/>
      <c r="T28" s="342">
        <v>0</v>
      </c>
      <c r="U28" s="997"/>
      <c r="V28" s="33"/>
      <c r="W28" s="3"/>
      <c r="X28" s="3"/>
      <c r="Y28" s="3"/>
    </row>
    <row r="29" spans="1:26" x14ac:dyDescent="0.25">
      <c r="A29" s="276"/>
      <c r="B29" s="267">
        <v>8.4990000000000006</v>
      </c>
      <c r="C29" s="29">
        <v>104.546875</v>
      </c>
      <c r="D29" s="30">
        <v>101</v>
      </c>
      <c r="E29" s="281"/>
      <c r="F29" s="945" t="s">
        <v>48</v>
      </c>
      <c r="G29" s="968"/>
      <c r="H29" s="968"/>
      <c r="I29" s="968"/>
      <c r="J29" s="968"/>
      <c r="K29" s="968"/>
      <c r="L29" s="968"/>
      <c r="M29" s="968"/>
      <c r="N29" s="968"/>
      <c r="O29" s="946"/>
      <c r="P29" s="276"/>
      <c r="Q29" s="909" t="s">
        <v>63</v>
      </c>
      <c r="R29" s="910"/>
      <c r="S29" s="32" t="s">
        <v>32</v>
      </c>
      <c r="T29" s="342">
        <f>'Feed(WS)'!$O$185</f>
        <v>0</v>
      </c>
      <c r="U29" s="997"/>
      <c r="V29" s="33"/>
      <c r="W29" s="47"/>
      <c r="X29" s="47"/>
      <c r="Y29" s="47"/>
    </row>
    <row r="30" spans="1:26" x14ac:dyDescent="0.25">
      <c r="A30" s="276"/>
      <c r="B30" s="267">
        <v>8.625</v>
      </c>
      <c r="C30" s="29">
        <v>104.796875</v>
      </c>
      <c r="D30" s="30">
        <v>101.25</v>
      </c>
      <c r="E30" s="281"/>
      <c r="F30" s="929" t="s">
        <v>69</v>
      </c>
      <c r="G30" s="930"/>
      <c r="H30" s="35">
        <v>0</v>
      </c>
      <c r="I30" s="35">
        <v>0</v>
      </c>
      <c r="J30" s="35">
        <v>0</v>
      </c>
      <c r="K30" s="35">
        <v>0</v>
      </c>
      <c r="L30" s="35">
        <v>0</v>
      </c>
      <c r="M30" s="35">
        <v>0</v>
      </c>
      <c r="N30" s="35">
        <v>0</v>
      </c>
      <c r="O30" s="36">
        <v>0</v>
      </c>
      <c r="P30" s="276"/>
      <c r="Q30" s="909" t="s">
        <v>65</v>
      </c>
      <c r="R30" s="910"/>
      <c r="S30" s="48" t="s">
        <v>66</v>
      </c>
      <c r="T30" s="342" t="e">
        <f>'Feed(WS)'!$R$180</f>
        <v>#N/A</v>
      </c>
      <c r="U30" s="997"/>
      <c r="V30" s="33"/>
    </row>
    <row r="31" spans="1:26" x14ac:dyDescent="0.25">
      <c r="A31" s="276"/>
      <c r="B31" s="267">
        <v>8.75</v>
      </c>
      <c r="C31" s="29">
        <v>105.046875</v>
      </c>
      <c r="D31" s="30">
        <v>101.5</v>
      </c>
      <c r="E31" s="281"/>
      <c r="F31" s="929" t="s">
        <v>71</v>
      </c>
      <c r="G31" s="930"/>
      <c r="H31" s="35">
        <v>0</v>
      </c>
      <c r="I31" s="35">
        <v>0</v>
      </c>
      <c r="J31" s="35">
        <v>0</v>
      </c>
      <c r="K31" s="35">
        <v>0</v>
      </c>
      <c r="L31" s="35">
        <v>-0.25</v>
      </c>
      <c r="M31" s="35">
        <v>-0.375</v>
      </c>
      <c r="N31" s="35">
        <v>-0.5</v>
      </c>
      <c r="O31" s="36">
        <v>-0.5</v>
      </c>
      <c r="P31" s="276"/>
      <c r="Q31" s="909" t="s">
        <v>67</v>
      </c>
      <c r="R31" s="910"/>
      <c r="S31" s="48" t="s">
        <v>68</v>
      </c>
      <c r="T31" s="342" cm="1">
        <f t="array" ref="T31">IF(OR(
      AND(OR($S$31='Feed(WS)'!$R$4:$R$5), $S$21&lt;&gt;'Feed(WS)'!$J$3),
      AND(OR($S$31='Feed(WS)'!$R$4:$R$5), $S$25&lt;&gt;'Feed(WS)'!$M$4),
      AND(OR($S$31='Feed(WS)'!$R$4:$R$5), $S$21&lt;&gt;'Feed(WS)'!$L$3:$L$4),
   ),
   NA(),
   0)</f>
        <v>0</v>
      </c>
      <c r="U31" s="997"/>
      <c r="V31" s="33"/>
    </row>
    <row r="32" spans="1:26" x14ac:dyDescent="0.25">
      <c r="A32" s="276"/>
      <c r="B32" s="267">
        <v>8.875</v>
      </c>
      <c r="C32" s="29">
        <v>105.296875</v>
      </c>
      <c r="D32" s="30">
        <v>101.75</v>
      </c>
      <c r="E32" s="281"/>
      <c r="F32" s="929" t="s">
        <v>73</v>
      </c>
      <c r="G32" s="930"/>
      <c r="H32" s="35">
        <v>-0.125</v>
      </c>
      <c r="I32" s="35">
        <v>-0.125</v>
      </c>
      <c r="J32" s="35">
        <v>-0.375</v>
      </c>
      <c r="K32" s="35">
        <v>-0.5</v>
      </c>
      <c r="L32" s="35">
        <v>-0.75</v>
      </c>
      <c r="M32" s="35">
        <v>-1</v>
      </c>
      <c r="N32" s="35" t="s">
        <v>643</v>
      </c>
      <c r="O32" s="36" t="s">
        <v>643</v>
      </c>
      <c r="P32" s="276"/>
      <c r="Q32" s="909" t="s">
        <v>70</v>
      </c>
      <c r="R32" s="910"/>
      <c r="S32" s="48" t="s">
        <v>68</v>
      </c>
      <c r="T32" s="342">
        <v>0</v>
      </c>
      <c r="U32" s="997"/>
      <c r="V32" s="33"/>
    </row>
    <row r="33" spans="1:26" ht="15.75" customHeight="1" x14ac:dyDescent="0.25">
      <c r="A33" s="276"/>
      <c r="B33" s="267">
        <v>8.9990000000000006</v>
      </c>
      <c r="C33" s="29">
        <v>105.546875</v>
      </c>
      <c r="D33" s="30">
        <v>102.25</v>
      </c>
      <c r="E33" s="281"/>
      <c r="F33" s="929" t="s">
        <v>76</v>
      </c>
      <c r="G33" s="930"/>
      <c r="H33" s="35">
        <v>-0.25</v>
      </c>
      <c r="I33" s="35">
        <v>-0.25</v>
      </c>
      <c r="J33" s="35">
        <v>-0.25</v>
      </c>
      <c r="K33" s="35">
        <v>-0.25</v>
      </c>
      <c r="L33" s="35">
        <v>-0.25</v>
      </c>
      <c r="M33" s="35">
        <v>-0.5</v>
      </c>
      <c r="N33" s="35">
        <v>-0.625</v>
      </c>
      <c r="O33" s="36" t="s">
        <v>643</v>
      </c>
      <c r="P33" s="276"/>
      <c r="Q33" s="270" t="s">
        <v>74</v>
      </c>
      <c r="R33" s="271"/>
      <c r="S33" s="49" t="str">
        <f>IF(ISNA(V33),"Yes",IF(V33=0,"No",""))</f>
        <v>No</v>
      </c>
      <c r="T33" s="342">
        <f>'Feed(WS)'!$B$67</f>
        <v>0</v>
      </c>
      <c r="U33" s="997"/>
      <c r="V33" s="33"/>
    </row>
    <row r="34" spans="1:26" x14ac:dyDescent="0.25">
      <c r="A34" s="276"/>
      <c r="B34" s="267">
        <v>9.125</v>
      </c>
      <c r="C34" s="29">
        <v>105.796875</v>
      </c>
      <c r="D34" s="30">
        <v>102.5</v>
      </c>
      <c r="E34" s="281"/>
      <c r="F34" s="929" t="s">
        <v>77</v>
      </c>
      <c r="G34" s="930"/>
      <c r="H34" s="35">
        <v>-0.5</v>
      </c>
      <c r="I34" s="35">
        <v>-0.5</v>
      </c>
      <c r="J34" s="35">
        <v>-0.625</v>
      </c>
      <c r="K34" s="35">
        <v>-0.75</v>
      </c>
      <c r="L34" s="35">
        <v>-1</v>
      </c>
      <c r="M34" s="35">
        <v>-1.25</v>
      </c>
      <c r="N34" s="35" t="s">
        <v>643</v>
      </c>
      <c r="O34" s="36" t="s">
        <v>643</v>
      </c>
      <c r="P34" s="276"/>
      <c r="Q34" s="270" t="s">
        <v>74</v>
      </c>
      <c r="R34" s="271"/>
      <c r="S34" s="49" t="s">
        <v>75</v>
      </c>
      <c r="T34" s="342">
        <v>0</v>
      </c>
      <c r="U34" s="997"/>
      <c r="V34" s="33"/>
    </row>
    <row r="35" spans="1:26" ht="15.75" customHeight="1" x14ac:dyDescent="0.25">
      <c r="A35" s="276"/>
      <c r="B35" s="267">
        <v>9.25</v>
      </c>
      <c r="C35" s="29">
        <v>105.921875</v>
      </c>
      <c r="D35" s="30">
        <v>102.75</v>
      </c>
      <c r="E35" s="281"/>
      <c r="F35" s="945" t="s">
        <v>79</v>
      </c>
      <c r="G35" s="968"/>
      <c r="H35" s="968"/>
      <c r="I35" s="968"/>
      <c r="J35" s="968"/>
      <c r="K35" s="968"/>
      <c r="L35" s="968"/>
      <c r="M35" s="968"/>
      <c r="N35" s="968"/>
      <c r="O35" s="946"/>
      <c r="P35" s="276"/>
      <c r="Q35" s="909" t="s">
        <v>208</v>
      </c>
      <c r="R35" s="910"/>
      <c r="S35" s="49" t="str">
        <f>IF(V36=0,'Feed(WS)'!Y4,'Feed(WS)'!Y5)</f>
        <v>Not Applicable</v>
      </c>
      <c r="T35" s="342" t="b">
        <f>'Feed(WS)'!$Z$1</f>
        <v>0</v>
      </c>
      <c r="U35" s="997"/>
      <c r="V35" s="33"/>
    </row>
    <row r="36" spans="1:26" x14ac:dyDescent="0.25">
      <c r="A36" s="276"/>
      <c r="B36" s="267">
        <v>9.375</v>
      </c>
      <c r="C36" s="29">
        <v>106.046875</v>
      </c>
      <c r="D36" s="30">
        <v>103</v>
      </c>
      <c r="E36" s="281"/>
      <c r="F36" s="929" t="s">
        <v>81</v>
      </c>
      <c r="G36" s="930"/>
      <c r="H36" s="35">
        <v>-0.25</v>
      </c>
      <c r="I36" s="35">
        <v>-0.5</v>
      </c>
      <c r="J36" s="35">
        <v>-0.5</v>
      </c>
      <c r="K36" s="35">
        <v>-0.5</v>
      </c>
      <c r="L36" s="35">
        <v>-0.75</v>
      </c>
      <c r="M36" s="35">
        <v>-1</v>
      </c>
      <c r="N36" s="35">
        <v>-1.25</v>
      </c>
      <c r="O36" s="36">
        <v>-1.5</v>
      </c>
      <c r="P36" s="276"/>
      <c r="Q36" s="911" t="s">
        <v>78</v>
      </c>
      <c r="R36" s="912"/>
      <c r="S36" s="913"/>
      <c r="T36" s="273" t="e">
        <f>SUM($T$12:$T$35)</f>
        <v>#N/A</v>
      </c>
      <c r="U36" s="997"/>
      <c r="V36" s="33"/>
    </row>
    <row r="37" spans="1:26" ht="15.75" customHeight="1" x14ac:dyDescent="0.25">
      <c r="A37" s="276"/>
      <c r="B37" s="267">
        <v>9.4990000000000006</v>
      </c>
      <c r="C37" s="29">
        <v>106.171875</v>
      </c>
      <c r="D37" s="30">
        <v>103.25</v>
      </c>
      <c r="E37" s="281"/>
      <c r="F37" s="929" t="s">
        <v>83</v>
      </c>
      <c r="G37" s="930"/>
      <c r="H37" s="35">
        <v>0</v>
      </c>
      <c r="I37" s="35">
        <v>0</v>
      </c>
      <c r="J37" s="35">
        <v>0</v>
      </c>
      <c r="K37" s="35">
        <v>0</v>
      </c>
      <c r="L37" s="35">
        <v>0</v>
      </c>
      <c r="M37" s="35">
        <v>0</v>
      </c>
      <c r="N37" s="35">
        <v>-0.25</v>
      </c>
      <c r="O37" s="36">
        <v>-0.5</v>
      </c>
      <c r="P37" s="276"/>
      <c r="Q37" s="911" t="s">
        <v>80</v>
      </c>
      <c r="R37" s="912"/>
      <c r="S37" s="913"/>
      <c r="T37" s="273" cm="1">
        <f t="array" ref="T37">IF(AND($S$24='Feed(WS)'!$K$6,$S$17='Feed(WS)'!$D$5),INDEX($B$10:$D$50,MATCH($S$10,$B$10:$B$50,0),MATCH($S$24,$B$10:$D$10,0)),INDEX($B$10:$D$50,MATCH($S$10,$B$10:$B$50,0),MATCH($S$17,$B$10:$D$10,0)+1))</f>
        <v>0</v>
      </c>
      <c r="U37" s="997"/>
      <c r="V37" s="33"/>
      <c r="Z37" s="47"/>
    </row>
    <row r="38" spans="1:26" ht="15.75" customHeight="1" x14ac:dyDescent="0.25">
      <c r="A38" s="276"/>
      <c r="B38" s="267">
        <v>9.625</v>
      </c>
      <c r="C38" s="29">
        <v>106.296875</v>
      </c>
      <c r="D38" s="30">
        <v>103.5</v>
      </c>
      <c r="E38" s="281"/>
      <c r="F38" s="929" t="s">
        <v>85</v>
      </c>
      <c r="G38" s="930"/>
      <c r="H38" s="35">
        <v>0</v>
      </c>
      <c r="I38" s="35">
        <v>0</v>
      </c>
      <c r="J38" s="35">
        <v>0</v>
      </c>
      <c r="K38" s="35">
        <v>0</v>
      </c>
      <c r="L38" s="35">
        <v>0</v>
      </c>
      <c r="M38" s="35">
        <v>0</v>
      </c>
      <c r="N38" s="35">
        <v>0</v>
      </c>
      <c r="O38" s="36">
        <v>0</v>
      </c>
      <c r="P38" s="276"/>
      <c r="Q38" s="911" t="s">
        <v>82</v>
      </c>
      <c r="R38" s="912"/>
      <c r="S38" s="913"/>
      <c r="T38" s="273" t="str">
        <f>IFERROR(IF(AND($U$10&lt;&gt;'Feed(WS)'!$K$134,$T$39=$T$64),NA(),$T$37+$T$36),"#N/A")</f>
        <v>#N/A</v>
      </c>
      <c r="U38" s="997"/>
      <c r="V38" s="33"/>
    </row>
    <row r="39" spans="1:26" ht="15.75" customHeight="1" x14ac:dyDescent="0.25">
      <c r="A39" s="276"/>
      <c r="B39" s="267">
        <v>9.75</v>
      </c>
      <c r="C39" s="29">
        <v>106.421875</v>
      </c>
      <c r="D39" s="30">
        <v>103.75</v>
      </c>
      <c r="E39" s="281"/>
      <c r="F39" s="640" t="s">
        <v>87</v>
      </c>
      <c r="G39" s="641"/>
      <c r="H39" s="35">
        <v>0.375</v>
      </c>
      <c r="I39" s="35">
        <v>0.25</v>
      </c>
      <c r="J39" s="35">
        <v>0.25</v>
      </c>
      <c r="K39" s="35">
        <v>0.25</v>
      </c>
      <c r="L39" s="35">
        <v>0.25</v>
      </c>
      <c r="M39" s="35">
        <v>0</v>
      </c>
      <c r="N39" s="35">
        <v>0</v>
      </c>
      <c r="O39" s="36">
        <v>0</v>
      </c>
      <c r="P39" s="276"/>
      <c r="Q39" s="911" t="s">
        <v>84</v>
      </c>
      <c r="R39" s="912"/>
      <c r="S39" s="913"/>
      <c r="T39" s="273" t="e">
        <f>IF(OR('Feed(WS)'!$E$147=0, ISERROR('Feed(WS)'!$E$147)), NA(), 'Feed(WS)'!$E$147)</f>
        <v>#N/A</v>
      </c>
      <c r="U39" s="997"/>
      <c r="V39" s="33"/>
    </row>
    <row r="40" spans="1:26" ht="14.25" customHeight="1" x14ac:dyDescent="0.25">
      <c r="A40" s="276"/>
      <c r="B40" s="267">
        <v>9.875</v>
      </c>
      <c r="C40" s="29">
        <v>106.546875</v>
      </c>
      <c r="D40" s="30">
        <v>104</v>
      </c>
      <c r="E40" s="281"/>
      <c r="F40" s="640" t="s">
        <v>88</v>
      </c>
      <c r="G40" s="641"/>
      <c r="H40" s="35">
        <v>0</v>
      </c>
      <c r="I40" s="35">
        <v>0</v>
      </c>
      <c r="J40" s="35">
        <v>0</v>
      </c>
      <c r="K40" s="35">
        <v>0</v>
      </c>
      <c r="L40" s="35">
        <v>0</v>
      </c>
      <c r="M40" s="35">
        <v>0</v>
      </c>
      <c r="N40" s="35">
        <v>0</v>
      </c>
      <c r="O40" s="36">
        <v>0</v>
      </c>
      <c r="P40" s="276"/>
      <c r="Q40" s="914" t="s">
        <v>86</v>
      </c>
      <c r="R40" s="915"/>
      <c r="S40" s="924"/>
      <c r="T40" s="274" t="e">
        <f>IF(OR($T$36="#NA",$T$37="#NA"),NA(),IF(AND($U$9&lt;&gt;'Feed(WS)'!$K$134,$T$39=$T$64),NA(),IF($T$38&gt;$T$39,$T$39,$T$38)))</f>
        <v>#N/A</v>
      </c>
      <c r="U40" s="997"/>
      <c r="V40" s="33"/>
    </row>
    <row r="41" spans="1:26" ht="14.25" customHeight="1" x14ac:dyDescent="0.25">
      <c r="A41" s="276"/>
      <c r="B41" s="267">
        <v>9.9990000000000006</v>
      </c>
      <c r="C41" s="29">
        <v>106.671875</v>
      </c>
      <c r="D41" s="30">
        <v>104.25</v>
      </c>
      <c r="E41" s="281"/>
      <c r="F41" s="640" t="s">
        <v>90</v>
      </c>
      <c r="G41" s="641"/>
      <c r="H41" s="35">
        <v>-0.125</v>
      </c>
      <c r="I41" s="35">
        <v>-0.125</v>
      </c>
      <c r="J41" s="35">
        <v>-0.125</v>
      </c>
      <c r="K41" s="35">
        <v>-0.25</v>
      </c>
      <c r="L41" s="35">
        <v>-0.25</v>
      </c>
      <c r="M41" s="35">
        <v>-0.25</v>
      </c>
      <c r="N41" s="35">
        <v>-0.5</v>
      </c>
      <c r="O41" s="36" t="s">
        <v>643</v>
      </c>
      <c r="P41" s="276"/>
      <c r="Q41" s="914" t="str" cm="1">
        <f t="array" ref="Q41">IF(OR($S$11:$S$25="Choose a Selection"),"",CONCATENATE('Feed(WS)'!$I$134," ",'Feed(WS)'!$K$134,"%"&amp;" @ "&amp;'Feed(WS)'!$L$134))</f>
        <v/>
      </c>
      <c r="R41" s="915"/>
      <c r="S41" s="915"/>
      <c r="T41" s="916"/>
      <c r="U41" s="997"/>
      <c r="V41" s="33"/>
    </row>
    <row r="42" spans="1:26" ht="15.75" customHeight="1" x14ac:dyDescent="0.25">
      <c r="A42" s="276"/>
      <c r="B42" s="267">
        <v>10.125</v>
      </c>
      <c r="C42" s="29">
        <v>106.796875</v>
      </c>
      <c r="D42" s="30">
        <v>104.5</v>
      </c>
      <c r="E42" s="281"/>
      <c r="F42" s="640" t="s">
        <v>91</v>
      </c>
      <c r="G42" s="641"/>
      <c r="H42" s="35">
        <v>-0.375</v>
      </c>
      <c r="I42" s="35">
        <v>-0.375</v>
      </c>
      <c r="J42" s="35">
        <v>-0.5</v>
      </c>
      <c r="K42" s="35">
        <v>-0.5</v>
      </c>
      <c r="L42" s="35">
        <v>-0.5</v>
      </c>
      <c r="M42" s="35">
        <v>-0.5</v>
      </c>
      <c r="N42" s="35">
        <v>-0.75</v>
      </c>
      <c r="O42" s="36" t="s">
        <v>643</v>
      </c>
      <c r="P42" s="276"/>
      <c r="Q42" s="964" t="s">
        <v>89</v>
      </c>
      <c r="R42" s="964"/>
      <c r="S42" s="964"/>
      <c r="T42" s="965"/>
      <c r="U42" s="997"/>
      <c r="V42" s="33"/>
    </row>
    <row r="43" spans="1:26" ht="14.25" customHeight="1" x14ac:dyDescent="0.25">
      <c r="A43" s="276"/>
      <c r="B43" s="267">
        <v>10.25</v>
      </c>
      <c r="C43" s="29">
        <v>106.921875</v>
      </c>
      <c r="D43" s="30">
        <v>104.75</v>
      </c>
      <c r="E43" s="281"/>
      <c r="F43" s="640" t="s">
        <v>92</v>
      </c>
      <c r="G43" s="641"/>
      <c r="H43" s="35">
        <v>-1</v>
      </c>
      <c r="I43" s="35">
        <v>-1</v>
      </c>
      <c r="J43" s="35">
        <v>-1</v>
      </c>
      <c r="K43" s="35">
        <v>-1</v>
      </c>
      <c r="L43" s="35">
        <v>-1.25</v>
      </c>
      <c r="M43" s="35">
        <v>-1.5</v>
      </c>
      <c r="N43" s="35" t="s">
        <v>643</v>
      </c>
      <c r="O43" s="36" t="s">
        <v>643</v>
      </c>
      <c r="P43" s="276"/>
      <c r="Q43" s="966"/>
      <c r="R43" s="966"/>
      <c r="S43" s="966"/>
      <c r="T43" s="967"/>
      <c r="U43" s="997"/>
      <c r="V43" s="33"/>
    </row>
    <row r="44" spans="1:26" ht="15.75" customHeight="1" x14ac:dyDescent="0.25">
      <c r="A44" s="276"/>
      <c r="B44" s="267">
        <v>10.375</v>
      </c>
      <c r="C44" s="29">
        <v>107.046875</v>
      </c>
      <c r="D44" s="30">
        <v>105</v>
      </c>
      <c r="E44" s="281"/>
      <c r="F44" s="640" t="s">
        <v>93</v>
      </c>
      <c r="G44" s="641"/>
      <c r="H44" s="35">
        <v>-2</v>
      </c>
      <c r="I44" s="35">
        <v>-2.25</v>
      </c>
      <c r="J44" s="35">
        <v>-2.5</v>
      </c>
      <c r="K44" s="35">
        <v>-3</v>
      </c>
      <c r="L44" s="35" t="s">
        <v>643</v>
      </c>
      <c r="M44" s="35" t="s">
        <v>643</v>
      </c>
      <c r="N44" s="35" t="s">
        <v>643</v>
      </c>
      <c r="O44" s="36" t="s">
        <v>643</v>
      </c>
      <c r="P44" s="276"/>
      <c r="Q44" s="966"/>
      <c r="R44" s="966"/>
      <c r="S44" s="966"/>
      <c r="T44" s="967"/>
      <c r="U44" s="997"/>
      <c r="V44" s="33"/>
    </row>
    <row r="45" spans="1:26" ht="14.25" customHeight="1" x14ac:dyDescent="0.25">
      <c r="A45" s="276"/>
      <c r="B45" s="267">
        <v>10.499000000000001</v>
      </c>
      <c r="C45" s="29">
        <v>107.171875</v>
      </c>
      <c r="D45" s="30">
        <v>105.25</v>
      </c>
      <c r="E45" s="281"/>
      <c r="F45" s="945" t="s">
        <v>186</v>
      </c>
      <c r="G45" s="968"/>
      <c r="H45" s="968"/>
      <c r="I45" s="968"/>
      <c r="J45" s="968"/>
      <c r="K45" s="968"/>
      <c r="L45" s="968"/>
      <c r="M45" s="968"/>
      <c r="N45" s="968"/>
      <c r="O45" s="946"/>
      <c r="P45" s="276"/>
      <c r="Q45" s="966"/>
      <c r="R45" s="966"/>
      <c r="S45" s="966"/>
      <c r="T45" s="967"/>
      <c r="U45" s="997"/>
      <c r="V45" s="33"/>
    </row>
    <row r="46" spans="1:26" ht="14.25" customHeight="1" x14ac:dyDescent="0.25">
      <c r="A46" s="276"/>
      <c r="B46" s="267">
        <v>10.625</v>
      </c>
      <c r="C46" s="29">
        <v>107.296875</v>
      </c>
      <c r="D46" s="30">
        <v>105.5</v>
      </c>
      <c r="E46" s="281"/>
      <c r="F46" s="929" t="s">
        <v>99</v>
      </c>
      <c r="G46" s="930"/>
      <c r="H46" s="35">
        <v>-1</v>
      </c>
      <c r="I46" s="35">
        <v>-1</v>
      </c>
      <c r="J46" s="35">
        <v>-1</v>
      </c>
      <c r="K46" s="35">
        <v>-1</v>
      </c>
      <c r="L46" s="35">
        <v>-1</v>
      </c>
      <c r="M46" s="35">
        <v>-1.5</v>
      </c>
      <c r="N46" s="35" t="s">
        <v>643</v>
      </c>
      <c r="O46" s="36" t="s">
        <v>643</v>
      </c>
      <c r="P46" s="276"/>
      <c r="Q46" s="972"/>
      <c r="R46" s="972"/>
      <c r="S46" s="972"/>
      <c r="T46" s="973"/>
      <c r="U46" s="997"/>
      <c r="V46" s="33"/>
    </row>
    <row r="47" spans="1:26" ht="14.25" customHeight="1" x14ac:dyDescent="0.25">
      <c r="A47" s="276"/>
      <c r="B47" s="267">
        <v>10.75</v>
      </c>
      <c r="C47" s="29">
        <v>107.421875</v>
      </c>
      <c r="D47" s="30">
        <v>105.75</v>
      </c>
      <c r="E47" s="281"/>
      <c r="F47" s="929" t="s">
        <v>187</v>
      </c>
      <c r="G47" s="930"/>
      <c r="H47" s="35">
        <v>-0.5</v>
      </c>
      <c r="I47" s="35">
        <v>-0.5</v>
      </c>
      <c r="J47" s="35">
        <v>-0.5</v>
      </c>
      <c r="K47" s="35">
        <v>-0.5</v>
      </c>
      <c r="L47" s="35">
        <v>-0.625</v>
      </c>
      <c r="M47" s="35">
        <v>-0.75</v>
      </c>
      <c r="N47" s="35">
        <v>-1</v>
      </c>
      <c r="O47" s="36" t="s">
        <v>643</v>
      </c>
      <c r="P47" s="276"/>
      <c r="Q47" s="964" t="s">
        <v>95</v>
      </c>
      <c r="R47" s="964"/>
      <c r="S47" s="964"/>
      <c r="T47" s="965"/>
      <c r="U47" s="997"/>
      <c r="V47" s="33"/>
    </row>
    <row r="48" spans="1:26" ht="15.75" customHeight="1" x14ac:dyDescent="0.25">
      <c r="A48" s="276"/>
      <c r="B48" s="267">
        <v>10.875</v>
      </c>
      <c r="C48" s="29">
        <v>107.546875</v>
      </c>
      <c r="D48" s="30">
        <v>106</v>
      </c>
      <c r="E48" s="281"/>
      <c r="F48" s="929" t="s">
        <v>100</v>
      </c>
      <c r="G48" s="930"/>
      <c r="H48" s="35">
        <v>0</v>
      </c>
      <c r="I48" s="35">
        <v>0</v>
      </c>
      <c r="J48" s="35">
        <v>0</v>
      </c>
      <c r="K48" s="35">
        <v>0</v>
      </c>
      <c r="L48" s="35">
        <v>0</v>
      </c>
      <c r="M48" s="35">
        <v>0</v>
      </c>
      <c r="N48" s="35">
        <v>0</v>
      </c>
      <c r="O48" s="36" t="s">
        <v>643</v>
      </c>
      <c r="P48" s="276"/>
      <c r="Q48" s="966"/>
      <c r="R48" s="966"/>
      <c r="S48" s="966"/>
      <c r="T48" s="967"/>
      <c r="U48" s="360"/>
      <c r="V48" s="33"/>
    </row>
    <row r="49" spans="1:22" ht="15.75" customHeight="1" x14ac:dyDescent="0.25">
      <c r="A49" s="276"/>
      <c r="B49" s="267">
        <v>10.999000000000001</v>
      </c>
      <c r="C49" s="29">
        <v>107.671875</v>
      </c>
      <c r="D49" s="30">
        <v>106.25</v>
      </c>
      <c r="E49" s="281"/>
      <c r="F49" s="929" t="s">
        <v>101</v>
      </c>
      <c r="G49" s="930"/>
      <c r="H49" s="35">
        <v>-0.25</v>
      </c>
      <c r="I49" s="35">
        <v>-0.25</v>
      </c>
      <c r="J49" s="35">
        <v>-0.25</v>
      </c>
      <c r="K49" s="35">
        <v>-0.25</v>
      </c>
      <c r="L49" s="35">
        <v>-0.25</v>
      </c>
      <c r="M49" s="35">
        <v>-0.25</v>
      </c>
      <c r="N49" s="35">
        <v>-0.25</v>
      </c>
      <c r="O49" s="36" t="s">
        <v>643</v>
      </c>
      <c r="P49" s="276"/>
      <c r="Q49" s="966"/>
      <c r="R49" s="966"/>
      <c r="S49" s="966"/>
      <c r="T49" s="967"/>
      <c r="U49" s="282"/>
      <c r="V49" s="33"/>
    </row>
    <row r="50" spans="1:22" x14ac:dyDescent="0.25">
      <c r="A50" s="276"/>
      <c r="B50" s="267">
        <v>11.125</v>
      </c>
      <c r="C50" s="29">
        <v>107.796875</v>
      </c>
      <c r="D50" s="30">
        <v>106.5</v>
      </c>
      <c r="E50" s="281"/>
      <c r="F50" s="929" t="s">
        <v>196</v>
      </c>
      <c r="G50" s="930"/>
      <c r="H50" s="35">
        <v>0</v>
      </c>
      <c r="I50" s="35">
        <v>0</v>
      </c>
      <c r="J50" s="35">
        <v>0</v>
      </c>
      <c r="K50" s="35">
        <v>0</v>
      </c>
      <c r="L50" s="35">
        <v>0</v>
      </c>
      <c r="M50" s="35">
        <v>0</v>
      </c>
      <c r="N50" s="35">
        <v>0</v>
      </c>
      <c r="O50" s="36" t="s">
        <v>643</v>
      </c>
      <c r="P50" s="276"/>
      <c r="Q50" s="966"/>
      <c r="R50" s="966"/>
      <c r="S50" s="966"/>
      <c r="T50" s="967"/>
      <c r="U50" s="276"/>
      <c r="V50" s="33"/>
    </row>
    <row r="51" spans="1:22" ht="13.5" customHeight="1" x14ac:dyDescent="0.25">
      <c r="A51" s="276"/>
      <c r="B51" s="346"/>
      <c r="C51" s="346"/>
      <c r="D51" s="346"/>
      <c r="E51" s="276"/>
      <c r="F51" s="945" t="s">
        <v>59</v>
      </c>
      <c r="G51" s="968"/>
      <c r="H51" s="968"/>
      <c r="I51" s="968"/>
      <c r="J51" s="968"/>
      <c r="K51" s="968"/>
      <c r="L51" s="968"/>
      <c r="M51" s="968"/>
      <c r="N51" s="968"/>
      <c r="O51" s="946"/>
      <c r="P51" s="282"/>
      <c r="Q51" s="346"/>
      <c r="R51" s="346"/>
      <c r="S51" s="346"/>
      <c r="T51" s="346"/>
      <c r="U51" s="276"/>
    </row>
    <row r="52" spans="1:22" ht="15.75" customHeight="1" x14ac:dyDescent="0.25">
      <c r="A52" s="276"/>
      <c r="B52" s="347"/>
      <c r="C52" s="347"/>
      <c r="D52" s="347"/>
      <c r="E52" s="276"/>
      <c r="F52" s="640" t="s">
        <v>103</v>
      </c>
      <c r="G52" s="641"/>
      <c r="H52" s="129">
        <v>-1</v>
      </c>
      <c r="I52" s="129">
        <v>-1</v>
      </c>
      <c r="J52" s="129">
        <v>-1</v>
      </c>
      <c r="K52" s="129">
        <v>-1</v>
      </c>
      <c r="L52" s="129">
        <v>-1</v>
      </c>
      <c r="M52" s="129">
        <v>-1</v>
      </c>
      <c r="N52" s="129">
        <v>-1</v>
      </c>
      <c r="O52" s="130">
        <v>-1</v>
      </c>
      <c r="P52" s="276"/>
      <c r="Q52" s="347"/>
      <c r="R52" s="347"/>
      <c r="S52" s="347"/>
      <c r="T52" s="347"/>
      <c r="U52" s="276"/>
    </row>
    <row r="53" spans="1:22" x14ac:dyDescent="0.25">
      <c r="A53" s="276"/>
      <c r="B53" s="356"/>
      <c r="C53" s="356"/>
      <c r="D53" s="356"/>
      <c r="E53" s="283"/>
      <c r="F53" s="640" t="s">
        <v>108</v>
      </c>
      <c r="G53" s="641"/>
      <c r="H53" s="129">
        <v>-2</v>
      </c>
      <c r="I53" s="129">
        <v>-2</v>
      </c>
      <c r="J53" s="129">
        <v>-2</v>
      </c>
      <c r="K53" s="129">
        <v>-2</v>
      </c>
      <c r="L53" s="129">
        <v>-2</v>
      </c>
      <c r="M53" s="129">
        <v>-2</v>
      </c>
      <c r="N53" s="129">
        <v>-2</v>
      </c>
      <c r="O53" s="130">
        <v>-2</v>
      </c>
      <c r="P53" s="276"/>
      <c r="Q53" s="307"/>
      <c r="R53" s="307"/>
      <c r="S53" s="307"/>
      <c r="T53" s="307"/>
      <c r="U53" s="276"/>
    </row>
    <row r="54" spans="1:22" ht="15.75" customHeight="1" x14ac:dyDescent="0.25">
      <c r="A54" s="276"/>
      <c r="B54" s="357"/>
      <c r="C54" s="357"/>
      <c r="D54" s="357"/>
      <c r="E54" s="284"/>
      <c r="F54" s="640" t="s">
        <v>113</v>
      </c>
      <c r="G54" s="641"/>
      <c r="H54" s="129">
        <v>-1</v>
      </c>
      <c r="I54" s="129">
        <v>-1</v>
      </c>
      <c r="J54" s="129">
        <v>-1</v>
      </c>
      <c r="K54" s="129">
        <v>-1</v>
      </c>
      <c r="L54" s="129">
        <v>-1</v>
      </c>
      <c r="M54" s="129">
        <v>-1</v>
      </c>
      <c r="N54" s="129">
        <v>-1</v>
      </c>
      <c r="O54" s="130">
        <v>-1</v>
      </c>
      <c r="P54" s="276"/>
      <c r="Q54" s="307"/>
      <c r="R54" s="307"/>
      <c r="S54" s="307"/>
      <c r="T54" s="307"/>
      <c r="U54" s="276"/>
    </row>
    <row r="55" spans="1:22" ht="15.75" customHeight="1" x14ac:dyDescent="0.25">
      <c r="A55" s="276"/>
      <c r="B55" s="995" t="s">
        <v>65</v>
      </c>
      <c r="C55" s="995"/>
      <c r="D55" s="325" t="s">
        <v>102</v>
      </c>
      <c r="E55" s="284"/>
      <c r="F55" s="640" t="s">
        <v>117</v>
      </c>
      <c r="G55" s="641"/>
      <c r="H55" s="129">
        <v>-0.5</v>
      </c>
      <c r="I55" s="129">
        <v>-0.5</v>
      </c>
      <c r="J55" s="129">
        <v>-0.5</v>
      </c>
      <c r="K55" s="129">
        <v>-0.5</v>
      </c>
      <c r="L55" s="129">
        <v>-0.5</v>
      </c>
      <c r="M55" s="129">
        <v>-0.5</v>
      </c>
      <c r="N55" s="129">
        <v>-0.5</v>
      </c>
      <c r="O55" s="130">
        <v>-0.5</v>
      </c>
      <c r="P55" s="276"/>
      <c r="Q55" s="996" t="s">
        <v>104</v>
      </c>
      <c r="R55" s="949"/>
      <c r="S55" s="325" t="s">
        <v>63</v>
      </c>
      <c r="T55" s="325" t="s">
        <v>102</v>
      </c>
      <c r="U55" s="276"/>
    </row>
    <row r="56" spans="1:22" ht="15.75" customHeight="1" x14ac:dyDescent="0.25">
      <c r="A56" s="276"/>
      <c r="B56" s="758" t="s">
        <v>107</v>
      </c>
      <c r="C56" s="758"/>
      <c r="D56" s="134">
        <v>-0.25</v>
      </c>
      <c r="E56" s="286"/>
      <c r="F56" s="640" t="s">
        <v>122</v>
      </c>
      <c r="G56" s="641"/>
      <c r="H56" s="129">
        <v>0.25</v>
      </c>
      <c r="I56" s="129">
        <v>0.25</v>
      </c>
      <c r="J56" s="129">
        <v>0.25</v>
      </c>
      <c r="K56" s="129">
        <v>0.25</v>
      </c>
      <c r="L56" s="129">
        <v>0.25</v>
      </c>
      <c r="M56" s="129">
        <v>0.25</v>
      </c>
      <c r="N56" s="129">
        <v>0.25</v>
      </c>
      <c r="O56" s="129">
        <v>0.25</v>
      </c>
      <c r="P56" s="276"/>
      <c r="Q56" s="135" t="s">
        <v>109</v>
      </c>
      <c r="R56" s="84">
        <v>102</v>
      </c>
      <c r="S56" s="136" t="s">
        <v>188</v>
      </c>
      <c r="T56" s="137">
        <v>-0.25</v>
      </c>
      <c r="U56" s="276"/>
    </row>
    <row r="57" spans="1:22" ht="15.75" customHeight="1" x14ac:dyDescent="0.25">
      <c r="A57" s="276"/>
      <c r="B57" s="758" t="s">
        <v>112</v>
      </c>
      <c r="C57" s="758"/>
      <c r="D57" s="134">
        <v>-0.5</v>
      </c>
      <c r="E57" s="288"/>
      <c r="F57" s="640" t="s">
        <v>126</v>
      </c>
      <c r="G57" s="641"/>
      <c r="H57" s="129">
        <v>0.375</v>
      </c>
      <c r="I57" s="129">
        <v>0.375</v>
      </c>
      <c r="J57" s="129">
        <v>0.375</v>
      </c>
      <c r="K57" s="129">
        <v>0.375</v>
      </c>
      <c r="L57" s="129">
        <v>0.375</v>
      </c>
      <c r="M57" s="129">
        <v>0.375</v>
      </c>
      <c r="N57" s="129">
        <v>0.375</v>
      </c>
      <c r="O57" s="129">
        <v>0.375</v>
      </c>
      <c r="P57" s="276"/>
      <c r="Q57" s="135" t="s">
        <v>91</v>
      </c>
      <c r="R57" s="138">
        <v>101</v>
      </c>
      <c r="S57" s="136" t="s">
        <v>189</v>
      </c>
      <c r="T57" s="139">
        <v>-0.25</v>
      </c>
      <c r="U57" s="276"/>
    </row>
    <row r="58" spans="1:22" x14ac:dyDescent="0.25">
      <c r="A58" s="276"/>
      <c r="B58" s="931" t="s">
        <v>116</v>
      </c>
      <c r="C58" s="932"/>
      <c r="D58" s="932"/>
      <c r="E58" s="289"/>
      <c r="F58" s="640" t="s">
        <v>130</v>
      </c>
      <c r="G58" s="641"/>
      <c r="H58" s="129">
        <v>0.625</v>
      </c>
      <c r="I58" s="129">
        <v>0.625</v>
      </c>
      <c r="J58" s="129">
        <v>0.625</v>
      </c>
      <c r="K58" s="129">
        <v>0.625</v>
      </c>
      <c r="L58" s="129">
        <v>0.625</v>
      </c>
      <c r="M58" s="129">
        <v>0.625</v>
      </c>
      <c r="N58" s="129">
        <v>0.625</v>
      </c>
      <c r="O58" s="129">
        <v>0.625</v>
      </c>
      <c r="P58" s="282"/>
      <c r="Q58" s="135" t="s">
        <v>118</v>
      </c>
      <c r="R58" s="138">
        <v>101</v>
      </c>
      <c r="S58" s="136" t="s">
        <v>190</v>
      </c>
      <c r="T58" s="139">
        <v>-0.25</v>
      </c>
      <c r="U58" s="276"/>
      <c r="V58" s="3"/>
    </row>
    <row r="59" spans="1:22" ht="15.75" customHeight="1" x14ac:dyDescent="0.25">
      <c r="A59" s="276"/>
      <c r="B59" s="756" t="s">
        <v>191</v>
      </c>
      <c r="C59" s="757"/>
      <c r="D59" s="757"/>
      <c r="E59" s="287"/>
      <c r="F59" s="640" t="s">
        <v>132</v>
      </c>
      <c r="G59" s="641"/>
      <c r="H59" s="129">
        <v>-1</v>
      </c>
      <c r="I59" s="129">
        <v>-1</v>
      </c>
      <c r="J59" s="129">
        <v>-1</v>
      </c>
      <c r="K59" s="129">
        <v>-1</v>
      </c>
      <c r="L59" s="129">
        <v>-1</v>
      </c>
      <c r="M59" s="129">
        <v>-1</v>
      </c>
      <c r="N59" s="129">
        <v>-1</v>
      </c>
      <c r="O59" s="130">
        <v>-1</v>
      </c>
      <c r="P59" s="282"/>
      <c r="Q59" s="135" t="s">
        <v>123</v>
      </c>
      <c r="R59" s="138">
        <v>101</v>
      </c>
      <c r="S59" s="136" t="s">
        <v>192</v>
      </c>
      <c r="T59" s="139">
        <v>-0.25</v>
      </c>
      <c r="U59" s="276"/>
      <c r="V59" s="3"/>
    </row>
    <row r="60" spans="1:22" x14ac:dyDescent="0.25">
      <c r="A60" s="276"/>
      <c r="B60" s="756"/>
      <c r="C60" s="757"/>
      <c r="D60" s="757"/>
      <c r="E60" s="287"/>
      <c r="F60" s="640" t="s">
        <v>134</v>
      </c>
      <c r="G60" s="641"/>
      <c r="H60" s="129">
        <v>-0.5</v>
      </c>
      <c r="I60" s="129">
        <v>-0.5</v>
      </c>
      <c r="J60" s="129">
        <v>-0.5</v>
      </c>
      <c r="K60" s="129">
        <v>-0.5</v>
      </c>
      <c r="L60" s="129">
        <v>-0.5</v>
      </c>
      <c r="M60" s="129">
        <v>-0.5</v>
      </c>
      <c r="N60" s="129">
        <v>-0.5</v>
      </c>
      <c r="O60" s="130">
        <v>-0.5</v>
      </c>
      <c r="P60" s="276"/>
      <c r="Q60" s="135" t="s">
        <v>127</v>
      </c>
      <c r="R60" s="138">
        <v>100</v>
      </c>
      <c r="S60" s="136" t="s">
        <v>193</v>
      </c>
      <c r="T60" s="139">
        <v>-0.25</v>
      </c>
      <c r="U60" s="276"/>
      <c r="V60" s="3"/>
    </row>
    <row r="61" spans="1:22" ht="15.75" customHeight="1" x14ac:dyDescent="0.25">
      <c r="A61" s="276"/>
      <c r="B61" s="756"/>
      <c r="C61" s="757"/>
      <c r="D61" s="757"/>
      <c r="E61" s="290"/>
      <c r="F61" s="640" t="s">
        <v>137</v>
      </c>
      <c r="G61" s="641"/>
      <c r="H61" s="129">
        <v>0.375</v>
      </c>
      <c r="I61" s="129">
        <v>0.375</v>
      </c>
      <c r="J61" s="129">
        <v>0.375</v>
      </c>
      <c r="K61" s="129">
        <v>0.375</v>
      </c>
      <c r="L61" s="129">
        <v>0.375</v>
      </c>
      <c r="M61" s="129">
        <v>0.375</v>
      </c>
      <c r="N61" s="129">
        <v>0.375</v>
      </c>
      <c r="O61" s="130">
        <v>0.375</v>
      </c>
      <c r="P61" s="276"/>
      <c r="Q61" s="135" t="s">
        <v>131</v>
      </c>
      <c r="R61" s="138">
        <v>100</v>
      </c>
      <c r="S61" s="136" t="s">
        <v>194</v>
      </c>
      <c r="T61" s="139">
        <v>-0.25</v>
      </c>
      <c r="U61" s="276"/>
      <c r="V61" s="3"/>
    </row>
    <row r="62" spans="1:22" ht="15.75" customHeight="1" x14ac:dyDescent="0.25">
      <c r="A62" s="276"/>
      <c r="B62" s="756"/>
      <c r="C62" s="757"/>
      <c r="D62" s="757"/>
      <c r="E62" s="291"/>
      <c r="F62" s="640" t="s">
        <v>139</v>
      </c>
      <c r="G62" s="641"/>
      <c r="H62" s="129">
        <v>0.5</v>
      </c>
      <c r="I62" s="129">
        <v>0.5</v>
      </c>
      <c r="J62" s="129">
        <v>0.5</v>
      </c>
      <c r="K62" s="129">
        <v>0.5</v>
      </c>
      <c r="L62" s="129">
        <v>0.5</v>
      </c>
      <c r="M62" s="129">
        <v>0.5</v>
      </c>
      <c r="N62" s="129">
        <v>0.5</v>
      </c>
      <c r="O62" s="130">
        <v>0.5</v>
      </c>
      <c r="P62" s="282"/>
      <c r="Q62" s="135" t="s">
        <v>133</v>
      </c>
      <c r="R62" s="138">
        <v>101</v>
      </c>
      <c r="S62" s="325" t="s">
        <v>105</v>
      </c>
      <c r="T62" s="325" t="s">
        <v>102</v>
      </c>
      <c r="U62" s="276"/>
      <c r="V62" s="3"/>
    </row>
    <row r="63" spans="1:22" ht="15.75" customHeight="1" x14ac:dyDescent="0.25">
      <c r="A63" s="276"/>
      <c r="B63" s="756"/>
      <c r="C63" s="757"/>
      <c r="D63" s="757"/>
      <c r="E63" s="291"/>
      <c r="F63" s="640" t="s">
        <v>142</v>
      </c>
      <c r="G63" s="641"/>
      <c r="H63" s="129">
        <v>0.875</v>
      </c>
      <c r="I63" s="129">
        <v>0.875</v>
      </c>
      <c r="J63" s="129">
        <v>0.875</v>
      </c>
      <c r="K63" s="129">
        <v>0.875</v>
      </c>
      <c r="L63" s="129">
        <v>0.875</v>
      </c>
      <c r="M63" s="129">
        <v>0.875</v>
      </c>
      <c r="N63" s="129">
        <v>0.875</v>
      </c>
      <c r="O63" s="130">
        <v>0.875</v>
      </c>
      <c r="P63" s="282"/>
      <c r="Q63" s="135" t="s">
        <v>195</v>
      </c>
      <c r="R63" s="138">
        <v>100</v>
      </c>
      <c r="S63" s="80" t="s">
        <v>136</v>
      </c>
      <c r="T63" s="140">
        <v>0.25</v>
      </c>
      <c r="U63" s="276"/>
      <c r="V63" s="3"/>
    </row>
    <row r="64" spans="1:22" ht="15.75" customHeight="1" x14ac:dyDescent="0.25">
      <c r="A64" s="276"/>
      <c r="B64" s="756"/>
      <c r="C64" s="757"/>
      <c r="D64" s="757"/>
      <c r="E64" s="287"/>
      <c r="F64" s="940" t="s">
        <v>144</v>
      </c>
      <c r="G64" s="941"/>
      <c r="H64" s="941"/>
      <c r="I64" s="941"/>
      <c r="J64" s="941"/>
      <c r="K64" s="941"/>
      <c r="L64" s="941"/>
      <c r="M64" s="941"/>
      <c r="N64" s="941"/>
      <c r="O64" s="942"/>
      <c r="P64" s="282"/>
      <c r="Q64" s="135" t="s">
        <v>196</v>
      </c>
      <c r="R64" s="138">
        <v>100</v>
      </c>
      <c r="S64" s="80" t="s">
        <v>54</v>
      </c>
      <c r="T64" s="140">
        <v>0</v>
      </c>
      <c r="U64" s="276"/>
      <c r="V64" s="3"/>
    </row>
    <row r="65" spans="1:35" ht="15.75" customHeight="1" x14ac:dyDescent="0.25">
      <c r="A65" s="276"/>
      <c r="B65" s="756"/>
      <c r="C65" s="757"/>
      <c r="D65" s="757"/>
      <c r="E65" s="287"/>
      <c r="F65" s="640" t="s">
        <v>146</v>
      </c>
      <c r="G65" s="641"/>
      <c r="H65" s="35">
        <v>-0.25</v>
      </c>
      <c r="I65" s="35">
        <v>-0.25</v>
      </c>
      <c r="J65" s="35">
        <v>-0.25</v>
      </c>
      <c r="K65" s="35">
        <v>-0.375</v>
      </c>
      <c r="L65" s="35">
        <v>-0.5</v>
      </c>
      <c r="M65" s="35">
        <v>-0.5</v>
      </c>
      <c r="N65" s="35">
        <v>-0.5</v>
      </c>
      <c r="O65" s="36" t="s">
        <v>643</v>
      </c>
      <c r="P65" s="276"/>
      <c r="Q65" s="995" t="s">
        <v>135</v>
      </c>
      <c r="R65" s="995"/>
      <c r="S65" s="80" t="s">
        <v>141</v>
      </c>
      <c r="T65" s="140">
        <v>-0.5</v>
      </c>
      <c r="U65" s="276"/>
      <c r="V65" s="3"/>
    </row>
    <row r="66" spans="1:35" ht="15.75" customHeight="1" x14ac:dyDescent="0.25">
      <c r="A66" s="276"/>
      <c r="B66" s="756"/>
      <c r="C66" s="757"/>
      <c r="D66" s="757"/>
      <c r="E66" s="292"/>
      <c r="F66" s="640" t="s">
        <v>197</v>
      </c>
      <c r="G66" s="641"/>
      <c r="H66" s="35">
        <v>-0.25</v>
      </c>
      <c r="I66" s="35">
        <v>-0.25</v>
      </c>
      <c r="J66" s="35">
        <v>-0.5</v>
      </c>
      <c r="K66" s="35">
        <v>-0.5</v>
      </c>
      <c r="L66" s="35">
        <v>-0.75</v>
      </c>
      <c r="M66" s="35">
        <v>-0.75</v>
      </c>
      <c r="N66" s="35">
        <v>-0.75</v>
      </c>
      <c r="O66" s="36" t="s">
        <v>643</v>
      </c>
      <c r="P66" s="276"/>
      <c r="Q66" s="135" t="s">
        <v>138</v>
      </c>
      <c r="R66" s="141">
        <v>99.75</v>
      </c>
      <c r="S66" s="86" t="s">
        <v>143</v>
      </c>
      <c r="T66" s="140">
        <v>0</v>
      </c>
      <c r="U66" s="276"/>
      <c r="V66" s="3"/>
    </row>
    <row r="67" spans="1:35" ht="15.75" customHeight="1" x14ac:dyDescent="0.25">
      <c r="A67" s="276"/>
      <c r="B67" s="756"/>
      <c r="C67" s="757"/>
      <c r="D67" s="757"/>
      <c r="E67" s="293"/>
      <c r="F67" s="640" t="s">
        <v>152</v>
      </c>
      <c r="G67" s="641"/>
      <c r="H67" s="35">
        <v>-0.25</v>
      </c>
      <c r="I67" s="35">
        <v>-0.25</v>
      </c>
      <c r="J67" s="35">
        <v>-0.25</v>
      </c>
      <c r="K67" s="35">
        <v>-0.25</v>
      </c>
      <c r="L67" s="35">
        <v>-0.25</v>
      </c>
      <c r="M67" s="35">
        <v>-0.5</v>
      </c>
      <c r="N67" s="35">
        <v>-0.5</v>
      </c>
      <c r="O67" s="36">
        <v>-0.5</v>
      </c>
      <c r="P67" s="276"/>
      <c r="Q67" s="996" t="s">
        <v>140</v>
      </c>
      <c r="R67" s="949"/>
      <c r="S67" s="80" t="s">
        <v>145</v>
      </c>
      <c r="T67" s="140">
        <v>-0.5</v>
      </c>
      <c r="U67" s="276"/>
      <c r="V67" s="3"/>
    </row>
    <row r="68" spans="1:35" x14ac:dyDescent="0.25">
      <c r="A68" s="276"/>
      <c r="B68" s="756"/>
      <c r="C68" s="757"/>
      <c r="D68" s="757"/>
      <c r="E68" s="287"/>
      <c r="F68" s="640" t="s">
        <v>158</v>
      </c>
      <c r="G68" s="641"/>
      <c r="H68" s="35">
        <v>-1.5</v>
      </c>
      <c r="I68" s="35">
        <v>-1.5</v>
      </c>
      <c r="J68" s="35">
        <v>-1.5</v>
      </c>
      <c r="K68" s="35">
        <v>-1.5</v>
      </c>
      <c r="L68" s="35">
        <v>-1.5</v>
      </c>
      <c r="M68" s="35">
        <v>-2</v>
      </c>
      <c r="N68" s="35" t="s">
        <v>643</v>
      </c>
      <c r="O68" s="36" t="s">
        <v>643</v>
      </c>
      <c r="P68" s="276"/>
      <c r="Q68" s="136" t="s">
        <v>91</v>
      </c>
      <c r="R68" s="141">
        <v>6.75</v>
      </c>
      <c r="S68" s="80" t="s">
        <v>148</v>
      </c>
      <c r="T68" s="140">
        <v>0</v>
      </c>
      <c r="U68" s="276"/>
      <c r="V68" s="3"/>
      <c r="W68" s="3"/>
      <c r="X68" s="3"/>
      <c r="Y68" s="3"/>
      <c r="Z68" s="3"/>
      <c r="AA68" s="3"/>
      <c r="AB68" s="3"/>
      <c r="AC68" s="3"/>
      <c r="AD68" s="3"/>
      <c r="AE68" s="3"/>
      <c r="AF68" s="3"/>
      <c r="AG68" s="3"/>
      <c r="AH68" s="3"/>
      <c r="AI68" s="3"/>
    </row>
    <row r="69" spans="1:35" x14ac:dyDescent="0.25">
      <c r="A69" s="276"/>
      <c r="B69" s="969" t="s">
        <v>154</v>
      </c>
      <c r="C69" s="970"/>
      <c r="D69" s="970"/>
      <c r="E69" s="292"/>
      <c r="F69" s="640" t="s">
        <v>161</v>
      </c>
      <c r="G69" s="641"/>
      <c r="H69" s="35">
        <v>-1.5</v>
      </c>
      <c r="I69" s="35">
        <v>-1.5</v>
      </c>
      <c r="J69" s="35">
        <v>-1.5</v>
      </c>
      <c r="K69" s="35">
        <v>-1.5</v>
      </c>
      <c r="L69" s="35">
        <v>-1.5</v>
      </c>
      <c r="M69" s="35">
        <v>-1.75</v>
      </c>
      <c r="N69" s="35" t="s">
        <v>643</v>
      </c>
      <c r="O69" s="36" t="s">
        <v>643</v>
      </c>
      <c r="P69" s="276"/>
      <c r="Q69" s="142" t="s">
        <v>123</v>
      </c>
      <c r="R69" s="143">
        <v>7.4989999999999997</v>
      </c>
      <c r="S69" s="80" t="s">
        <v>151</v>
      </c>
      <c r="T69" s="140">
        <v>-0.5</v>
      </c>
      <c r="U69" s="276"/>
      <c r="V69" s="3"/>
      <c r="W69" s="3"/>
      <c r="X69" s="3"/>
      <c r="Y69" s="3"/>
      <c r="Z69" s="3"/>
      <c r="AA69" s="3"/>
      <c r="AB69" s="3"/>
      <c r="AC69" s="3"/>
      <c r="AD69" s="3"/>
      <c r="AE69" s="3"/>
      <c r="AF69" s="3"/>
      <c r="AG69" s="3"/>
      <c r="AH69" s="3"/>
      <c r="AI69" s="3"/>
    </row>
    <row r="70" spans="1:35" ht="15.75" customHeight="1" x14ac:dyDescent="0.25">
      <c r="A70" s="276"/>
      <c r="B70" s="993" t="s">
        <v>157</v>
      </c>
      <c r="C70" s="994"/>
      <c r="D70" s="994"/>
      <c r="E70" s="294"/>
      <c r="F70" s="640" t="s">
        <v>70</v>
      </c>
      <c r="G70" s="641"/>
      <c r="H70" s="35">
        <v>-0.5</v>
      </c>
      <c r="I70" s="35">
        <v>-0.5</v>
      </c>
      <c r="J70" s="35">
        <v>-0.5</v>
      </c>
      <c r="K70" s="35">
        <v>-0.5</v>
      </c>
      <c r="L70" s="35">
        <v>-0.5</v>
      </c>
      <c r="M70" s="35">
        <v>-0.5</v>
      </c>
      <c r="N70" s="35">
        <v>-0.5</v>
      </c>
      <c r="O70" s="36">
        <v>-0.5</v>
      </c>
      <c r="P70" s="276"/>
      <c r="Q70" s="327"/>
      <c r="R70" s="327"/>
      <c r="S70" s="317" t="s">
        <v>105</v>
      </c>
      <c r="T70" s="317" t="s">
        <v>106</v>
      </c>
      <c r="U70" s="276"/>
      <c r="V70" s="3"/>
      <c r="W70" s="3"/>
      <c r="X70" s="3"/>
      <c r="Y70" s="3"/>
      <c r="Z70" s="3"/>
      <c r="AA70" s="3"/>
      <c r="AB70" s="3"/>
      <c r="AC70" s="3"/>
      <c r="AD70" s="3"/>
      <c r="AE70" s="3"/>
      <c r="AF70" s="3"/>
      <c r="AG70" s="3"/>
      <c r="AH70" s="3"/>
      <c r="AI70" s="3"/>
    </row>
    <row r="71" spans="1:35" x14ac:dyDescent="0.25">
      <c r="A71" s="276"/>
      <c r="B71" s="931" t="s">
        <v>160</v>
      </c>
      <c r="C71" s="932"/>
      <c r="D71" s="932"/>
      <c r="E71" s="295"/>
      <c r="F71" s="940" t="s">
        <v>34</v>
      </c>
      <c r="G71" s="941"/>
      <c r="H71" s="941"/>
      <c r="I71" s="941"/>
      <c r="J71" s="941"/>
      <c r="K71" s="941"/>
      <c r="L71" s="941"/>
      <c r="M71" s="941"/>
      <c r="N71" s="941"/>
      <c r="O71" s="942"/>
      <c r="P71" s="276"/>
      <c r="Q71" s="327"/>
      <c r="R71" s="327"/>
      <c r="S71" s="144" t="s">
        <v>110</v>
      </c>
      <c r="T71" s="145" t="s">
        <v>111</v>
      </c>
      <c r="U71" s="276"/>
      <c r="V71" s="3"/>
      <c r="W71" s="3"/>
      <c r="X71" s="3"/>
      <c r="Y71" s="3"/>
      <c r="Z71" s="3"/>
      <c r="AA71" s="3"/>
      <c r="AB71" s="3"/>
      <c r="AC71" s="3"/>
      <c r="AD71" s="3"/>
      <c r="AE71" s="3"/>
      <c r="AF71" s="3"/>
      <c r="AG71" s="3"/>
      <c r="AH71" s="3"/>
      <c r="AI71" s="3"/>
    </row>
    <row r="72" spans="1:35" ht="17.25" customHeight="1" x14ac:dyDescent="0.25">
      <c r="A72" s="276"/>
      <c r="B72" s="715" t="s">
        <v>163</v>
      </c>
      <c r="C72" s="755"/>
      <c r="D72" s="755"/>
      <c r="E72" s="295"/>
      <c r="F72" s="640" t="s">
        <v>35</v>
      </c>
      <c r="G72" s="641"/>
      <c r="H72" s="35">
        <v>0.25</v>
      </c>
      <c r="I72" s="35">
        <v>0.25</v>
      </c>
      <c r="J72" s="35">
        <v>0.25</v>
      </c>
      <c r="K72" s="35">
        <v>0.25</v>
      </c>
      <c r="L72" s="35">
        <v>0.25</v>
      </c>
      <c r="M72" s="35">
        <v>0.25</v>
      </c>
      <c r="N72" s="35">
        <v>0.25</v>
      </c>
      <c r="O72" s="35">
        <v>0.25</v>
      </c>
      <c r="P72" s="276"/>
      <c r="Q72" s="327"/>
      <c r="R72" s="327"/>
      <c r="S72" s="144" t="s">
        <v>114</v>
      </c>
      <c r="T72" s="145" t="s">
        <v>115</v>
      </c>
      <c r="U72" s="282"/>
      <c r="V72" s="3"/>
      <c r="W72" s="3"/>
      <c r="X72" s="3"/>
      <c r="Y72" s="3"/>
      <c r="Z72" s="3"/>
      <c r="AA72" s="3"/>
      <c r="AB72" s="3"/>
      <c r="AC72" s="3"/>
      <c r="AD72" s="3"/>
      <c r="AE72" s="3"/>
      <c r="AF72" s="3"/>
      <c r="AG72" s="3"/>
      <c r="AH72" s="3"/>
      <c r="AI72" s="3"/>
    </row>
    <row r="73" spans="1:35" x14ac:dyDescent="0.25">
      <c r="A73" s="276"/>
      <c r="B73" s="755"/>
      <c r="C73" s="755"/>
      <c r="D73" s="755"/>
      <c r="E73" s="295"/>
      <c r="F73" s="640" t="s">
        <v>167</v>
      </c>
      <c r="G73" s="641"/>
      <c r="H73" s="35">
        <v>-1.25</v>
      </c>
      <c r="I73" s="35">
        <v>-1.25</v>
      </c>
      <c r="J73" s="35">
        <v>-1.25</v>
      </c>
      <c r="K73" s="35">
        <v>-1.25</v>
      </c>
      <c r="L73" s="35">
        <v>-1.25</v>
      </c>
      <c r="M73" s="35">
        <v>-1.25</v>
      </c>
      <c r="N73" s="35">
        <v>-1.5</v>
      </c>
      <c r="O73" s="36">
        <v>-2</v>
      </c>
      <c r="P73" s="276"/>
      <c r="Q73" s="327"/>
      <c r="R73" s="327"/>
      <c r="S73" s="144" t="s">
        <v>119</v>
      </c>
      <c r="T73" s="145" t="s">
        <v>120</v>
      </c>
      <c r="U73" s="282"/>
      <c r="V73" s="3"/>
      <c r="W73" s="3"/>
      <c r="X73" s="3"/>
      <c r="Y73" s="3"/>
      <c r="Z73" s="3"/>
      <c r="AA73" s="3"/>
      <c r="AB73" s="3"/>
      <c r="AC73" s="3"/>
      <c r="AD73" s="3"/>
      <c r="AE73" s="3"/>
      <c r="AF73" s="3"/>
      <c r="AG73" s="3"/>
      <c r="AH73" s="3"/>
      <c r="AI73" s="3"/>
    </row>
    <row r="74" spans="1:35" x14ac:dyDescent="0.25">
      <c r="A74" s="276"/>
      <c r="B74" s="755"/>
      <c r="C74" s="755"/>
      <c r="D74" s="755"/>
      <c r="E74" s="295"/>
      <c r="F74" s="640" t="s">
        <v>169</v>
      </c>
      <c r="G74" s="641"/>
      <c r="H74" s="35">
        <v>-1.75</v>
      </c>
      <c r="I74" s="35">
        <v>-1.75</v>
      </c>
      <c r="J74" s="35">
        <v>-1.75</v>
      </c>
      <c r="K74" s="35">
        <v>-1.75</v>
      </c>
      <c r="L74" s="35">
        <v>-1.75</v>
      </c>
      <c r="M74" s="35">
        <v>-2</v>
      </c>
      <c r="N74" s="35">
        <v>-2</v>
      </c>
      <c r="O74" s="36" t="s">
        <v>643</v>
      </c>
      <c r="P74" s="276"/>
      <c r="Q74" s="327"/>
      <c r="R74" s="327"/>
      <c r="S74" s="144" t="s">
        <v>124</v>
      </c>
      <c r="T74" s="146" t="s">
        <v>125</v>
      </c>
      <c r="U74" s="282"/>
      <c r="V74" s="3"/>
      <c r="W74" s="3"/>
      <c r="X74" s="3"/>
      <c r="Y74" s="3"/>
      <c r="Z74" s="3"/>
      <c r="AA74" s="3"/>
      <c r="AB74" s="3"/>
      <c r="AC74" s="3"/>
      <c r="AD74" s="3"/>
      <c r="AE74" s="3"/>
      <c r="AF74" s="3"/>
      <c r="AG74" s="3"/>
      <c r="AH74" s="3"/>
      <c r="AI74" s="3"/>
    </row>
    <row r="75" spans="1:35" x14ac:dyDescent="0.25">
      <c r="A75" s="276"/>
      <c r="B75" s="755"/>
      <c r="C75" s="755"/>
      <c r="D75" s="755"/>
      <c r="E75" s="295"/>
      <c r="F75" s="640" t="s">
        <v>170</v>
      </c>
      <c r="G75" s="641"/>
      <c r="H75" s="35">
        <v>-1.5</v>
      </c>
      <c r="I75" s="35">
        <v>-1.75</v>
      </c>
      <c r="J75" s="35">
        <v>-1.75</v>
      </c>
      <c r="K75" s="35">
        <v>-1.75</v>
      </c>
      <c r="L75" s="35">
        <v>-1.75</v>
      </c>
      <c r="M75" s="35">
        <v>-2</v>
      </c>
      <c r="N75" s="35">
        <v>-2</v>
      </c>
      <c r="O75" s="36" t="s">
        <v>643</v>
      </c>
      <c r="P75" s="276"/>
      <c r="Q75" s="327"/>
      <c r="R75" s="327"/>
      <c r="S75" s="144" t="s">
        <v>128</v>
      </c>
      <c r="T75" s="146" t="s">
        <v>129</v>
      </c>
      <c r="U75" s="282"/>
      <c r="W75" s="3"/>
      <c r="X75" s="3"/>
      <c r="Y75" s="3"/>
      <c r="Z75" s="3"/>
      <c r="AA75" s="3"/>
      <c r="AB75" s="3"/>
      <c r="AC75" s="3"/>
      <c r="AD75" s="3"/>
      <c r="AE75" s="3"/>
      <c r="AF75" s="3"/>
      <c r="AG75" s="3"/>
      <c r="AH75" s="3"/>
      <c r="AI75" s="3"/>
    </row>
    <row r="76" spans="1:35" x14ac:dyDescent="0.25">
      <c r="A76" s="276"/>
      <c r="B76" s="992"/>
      <c r="C76" s="992"/>
      <c r="D76" s="992"/>
      <c r="E76" s="295"/>
      <c r="F76" s="640" t="s">
        <v>171</v>
      </c>
      <c r="G76" s="641"/>
      <c r="H76" s="35">
        <v>0</v>
      </c>
      <c r="I76" s="35">
        <v>0</v>
      </c>
      <c r="J76" s="35">
        <v>0</v>
      </c>
      <c r="K76" s="35">
        <v>0</v>
      </c>
      <c r="L76" s="35">
        <v>0</v>
      </c>
      <c r="M76" s="35">
        <v>0</v>
      </c>
      <c r="N76" s="35">
        <v>0</v>
      </c>
      <c r="O76" s="36">
        <v>0</v>
      </c>
      <c r="P76" s="276"/>
      <c r="Q76" s="327"/>
      <c r="R76" s="327"/>
      <c r="S76" s="144" t="s">
        <v>120</v>
      </c>
      <c r="T76" s="147">
        <v>4</v>
      </c>
      <c r="U76" s="282"/>
      <c r="W76" s="3"/>
      <c r="X76" s="3"/>
      <c r="Y76" s="3"/>
      <c r="Z76" s="3"/>
      <c r="AA76" s="3"/>
      <c r="AB76" s="3"/>
      <c r="AC76" s="3"/>
      <c r="AD76" s="3"/>
      <c r="AE76" s="3"/>
      <c r="AF76" s="3"/>
      <c r="AG76" s="3"/>
      <c r="AH76" s="3"/>
      <c r="AI76" s="3"/>
    </row>
    <row r="77" spans="1:35" x14ac:dyDescent="0.25">
      <c r="A77" s="276"/>
      <c r="B77" s="327"/>
      <c r="C77" s="327"/>
      <c r="D77" s="327"/>
      <c r="E77" s="295"/>
      <c r="F77" s="940" t="s">
        <v>37</v>
      </c>
      <c r="G77" s="941"/>
      <c r="H77" s="941"/>
      <c r="I77" s="941"/>
      <c r="J77" s="941"/>
      <c r="K77" s="941"/>
      <c r="L77" s="941"/>
      <c r="M77" s="941"/>
      <c r="N77" s="941"/>
      <c r="O77" s="942"/>
      <c r="P77" s="276"/>
      <c r="Q77" s="327"/>
      <c r="R77" s="327"/>
      <c r="S77" s="350"/>
      <c r="T77" s="351"/>
      <c r="U77" s="282"/>
      <c r="W77" s="3"/>
      <c r="X77" s="3"/>
      <c r="Y77" s="3"/>
      <c r="Z77" s="3"/>
      <c r="AA77" s="3"/>
      <c r="AB77" s="3"/>
      <c r="AC77" s="3"/>
      <c r="AD77" s="3"/>
      <c r="AE77" s="3"/>
      <c r="AF77" s="3"/>
      <c r="AG77" s="3"/>
      <c r="AH77" s="3"/>
      <c r="AI77" s="3"/>
    </row>
    <row r="78" spans="1:35" x14ac:dyDescent="0.25">
      <c r="A78" s="276"/>
      <c r="B78" s="327"/>
      <c r="C78" s="327"/>
      <c r="D78" s="327"/>
      <c r="E78" s="295"/>
      <c r="F78" s="640" t="s">
        <v>172</v>
      </c>
      <c r="G78" s="641"/>
      <c r="H78" s="35">
        <v>-2</v>
      </c>
      <c r="I78" s="35">
        <v>-2</v>
      </c>
      <c r="J78" s="35">
        <v>-2</v>
      </c>
      <c r="K78" s="35">
        <v>-2</v>
      </c>
      <c r="L78" s="35">
        <v>-2</v>
      </c>
      <c r="M78" s="35" t="s">
        <v>643</v>
      </c>
      <c r="N78" s="35" t="s">
        <v>643</v>
      </c>
      <c r="O78" s="36" t="s">
        <v>643</v>
      </c>
      <c r="P78" s="276"/>
      <c r="Q78" s="327"/>
      <c r="R78" s="327"/>
      <c r="S78" s="350"/>
      <c r="T78" s="351"/>
      <c r="U78" s="282"/>
      <c r="W78" s="3"/>
      <c r="X78" s="3"/>
      <c r="Y78" s="3"/>
      <c r="Z78" s="3"/>
      <c r="AA78" s="3"/>
      <c r="AB78" s="3"/>
      <c r="AC78" s="3"/>
      <c r="AD78" s="3"/>
      <c r="AE78" s="3"/>
      <c r="AF78" s="3"/>
      <c r="AG78" s="3"/>
      <c r="AH78" s="3"/>
      <c r="AI78" s="3"/>
    </row>
    <row r="79" spans="1:35" x14ac:dyDescent="0.25">
      <c r="A79" s="276"/>
      <c r="B79" s="327"/>
      <c r="C79" s="327"/>
      <c r="D79" s="327"/>
      <c r="E79" s="295"/>
      <c r="F79" s="640" t="s">
        <v>173</v>
      </c>
      <c r="G79" s="641"/>
      <c r="H79" s="35">
        <v>-1</v>
      </c>
      <c r="I79" s="35">
        <v>-1</v>
      </c>
      <c r="J79" s="35">
        <v>-1</v>
      </c>
      <c r="K79" s="35">
        <v>-1.25</v>
      </c>
      <c r="L79" s="35">
        <v>-1.25</v>
      </c>
      <c r="M79" s="35">
        <v>-1.25</v>
      </c>
      <c r="N79" s="35" t="s">
        <v>643</v>
      </c>
      <c r="O79" s="36" t="s">
        <v>643</v>
      </c>
      <c r="P79" s="276"/>
      <c r="Q79" s="327"/>
      <c r="R79" s="327"/>
      <c r="S79" s="350"/>
      <c r="T79" s="351"/>
      <c r="U79" s="282"/>
      <c r="W79" s="3"/>
      <c r="X79" s="3"/>
      <c r="Y79" s="3"/>
      <c r="Z79" s="3"/>
      <c r="AA79" s="3"/>
      <c r="AB79" s="3"/>
      <c r="AC79" s="3"/>
      <c r="AD79" s="3"/>
      <c r="AE79" s="3"/>
      <c r="AF79" s="3"/>
      <c r="AG79" s="3"/>
      <c r="AH79" s="3"/>
      <c r="AI79" s="3"/>
    </row>
    <row r="80" spans="1:35" ht="15" customHeight="1" x14ac:dyDescent="0.25">
      <c r="A80" s="276"/>
      <c r="B80" s="992"/>
      <c r="C80" s="992"/>
      <c r="D80" s="992"/>
      <c r="E80" s="295"/>
      <c r="F80" s="640" t="s">
        <v>174</v>
      </c>
      <c r="G80" s="641"/>
      <c r="H80" s="35">
        <v>-0.25</v>
      </c>
      <c r="I80" s="35">
        <v>-0.25</v>
      </c>
      <c r="J80" s="35">
        <v>-0.25</v>
      </c>
      <c r="K80" s="35">
        <v>-0.25</v>
      </c>
      <c r="L80" s="35">
        <v>-0.25</v>
      </c>
      <c r="M80" s="35">
        <v>-0.5</v>
      </c>
      <c r="N80" s="35">
        <v>-0.5</v>
      </c>
      <c r="O80" s="36">
        <v>-0.5</v>
      </c>
      <c r="P80" s="276"/>
      <c r="Q80" s="327"/>
      <c r="R80" s="327"/>
      <c r="S80" s="350"/>
      <c r="T80" s="351"/>
      <c r="U80" s="276"/>
    </row>
    <row r="81" spans="1:21" ht="15" customHeight="1" thickBot="1" x14ac:dyDescent="0.3">
      <c r="A81" s="276"/>
      <c r="B81" s="353"/>
      <c r="C81" s="354"/>
      <c r="D81" s="355"/>
      <c r="E81" s="295"/>
      <c r="F81" s="640" t="s">
        <v>175</v>
      </c>
      <c r="G81" s="641"/>
      <c r="H81" s="150">
        <v>0</v>
      </c>
      <c r="I81" s="150">
        <v>0</v>
      </c>
      <c r="J81" s="150">
        <v>0</v>
      </c>
      <c r="K81" s="150">
        <v>0</v>
      </c>
      <c r="L81" s="150">
        <v>0</v>
      </c>
      <c r="M81" s="150">
        <v>0</v>
      </c>
      <c r="N81" s="150">
        <v>0</v>
      </c>
      <c r="O81" s="151">
        <v>0</v>
      </c>
      <c r="P81" s="276"/>
      <c r="Q81" s="348"/>
      <c r="R81" s="349"/>
      <c r="S81" s="349"/>
      <c r="T81" s="352"/>
      <c r="U81" s="276"/>
    </row>
    <row r="82" spans="1:21" customFormat="1" ht="15" customHeight="1" x14ac:dyDescent="0.25"/>
    <row r="83" spans="1:21" ht="15" customHeight="1" x14ac:dyDescent="0.25">
      <c r="B83" s="158"/>
      <c r="C83" s="158"/>
      <c r="D83" s="98"/>
      <c r="E83" s="98"/>
      <c r="F83" s="159"/>
      <c r="G83" s="159"/>
      <c r="H83" s="160"/>
      <c r="I83" s="160"/>
      <c r="J83" s="160"/>
      <c r="K83" s="160"/>
      <c r="L83" s="160"/>
      <c r="M83" s="160"/>
      <c r="N83" s="160"/>
      <c r="O83" s="160"/>
      <c r="Q83" s="3"/>
      <c r="R83" s="3"/>
      <c r="S83" s="3"/>
      <c r="T83" s="3"/>
    </row>
    <row r="84" spans="1:21" ht="15" customHeight="1" x14ac:dyDescent="0.25">
      <c r="B84" s="158"/>
      <c r="C84" s="158"/>
      <c r="D84" s="98"/>
      <c r="E84" s="98"/>
      <c r="F84" s="99"/>
      <c r="G84" s="99"/>
      <c r="H84" s="99"/>
      <c r="I84" s="99"/>
      <c r="J84" s="99"/>
      <c r="K84" s="99"/>
      <c r="L84" s="99"/>
      <c r="M84" s="99"/>
      <c r="N84" s="99"/>
      <c r="O84" s="99"/>
      <c r="Q84" s="3"/>
      <c r="R84" s="3"/>
    </row>
    <row r="85" spans="1:21" ht="15" customHeight="1" x14ac:dyDescent="0.25">
      <c r="B85" s="158"/>
      <c r="C85" s="158"/>
      <c r="D85" s="98"/>
      <c r="E85" s="98"/>
      <c r="F85" s="159"/>
      <c r="G85" s="159"/>
      <c r="H85" s="161"/>
      <c r="I85" s="161"/>
      <c r="J85" s="161"/>
      <c r="K85" s="161"/>
      <c r="L85" s="161"/>
      <c r="M85" s="161"/>
      <c r="N85" s="161"/>
      <c r="O85" s="161"/>
      <c r="Q85" s="3"/>
      <c r="R85" s="3"/>
    </row>
    <row r="86" spans="1:21" ht="15" customHeight="1" x14ac:dyDescent="0.25">
      <c r="B86" s="107"/>
      <c r="C86" s="107"/>
      <c r="D86" s="108"/>
      <c r="E86" s="108"/>
      <c r="F86" s="159"/>
      <c r="G86" s="159"/>
      <c r="H86" s="161"/>
      <c r="I86" s="161"/>
      <c r="J86" s="161"/>
      <c r="K86" s="161"/>
      <c r="L86" s="161"/>
      <c r="M86" s="161"/>
      <c r="N86" s="161"/>
      <c r="O86" s="161"/>
      <c r="Q86" s="3"/>
      <c r="R86" s="3"/>
    </row>
    <row r="87" spans="1:21" ht="15" customHeight="1" x14ac:dyDescent="0.25">
      <c r="B87" s="753"/>
      <c r="C87" s="753"/>
      <c r="D87" s="108"/>
      <c r="E87" s="108"/>
      <c r="F87" s="159"/>
      <c r="G87" s="159"/>
      <c r="H87" s="161"/>
      <c r="I87" s="161"/>
      <c r="J87" s="161"/>
      <c r="K87" s="161"/>
      <c r="L87" s="161"/>
      <c r="M87" s="161"/>
      <c r="N87" s="161"/>
      <c r="O87" s="161"/>
      <c r="Q87" s="3"/>
      <c r="R87" s="3"/>
    </row>
    <row r="88" spans="1:21" ht="15" customHeight="1" x14ac:dyDescent="0.25">
      <c r="B88" s="753"/>
      <c r="C88" s="753"/>
      <c r="D88" s="108"/>
      <c r="E88" s="108"/>
      <c r="F88" s="159"/>
      <c r="G88" s="159"/>
      <c r="H88" s="161"/>
      <c r="I88" s="161"/>
      <c r="J88" s="161"/>
      <c r="K88" s="161"/>
      <c r="L88" s="161"/>
      <c r="M88" s="161"/>
      <c r="N88" s="161"/>
      <c r="O88" s="161"/>
      <c r="Q88" s="3"/>
      <c r="R88" s="3"/>
    </row>
    <row r="89" spans="1:21" x14ac:dyDescent="0.25">
      <c r="B89" s="3"/>
      <c r="C89" s="3"/>
      <c r="D89" s="3"/>
      <c r="E89" s="3"/>
      <c r="F89" s="159"/>
      <c r="G89" s="159"/>
      <c r="H89" s="161"/>
      <c r="I89" s="161"/>
      <c r="J89" s="161"/>
      <c r="K89" s="161"/>
      <c r="L89" s="161"/>
      <c r="M89" s="161"/>
      <c r="N89" s="161"/>
      <c r="O89" s="161"/>
    </row>
    <row r="90" spans="1:21" x14ac:dyDescent="0.25">
      <c r="B90" s="3"/>
      <c r="C90" s="3"/>
      <c r="D90" s="3"/>
      <c r="E90" s="3"/>
      <c r="F90" s="159"/>
      <c r="G90" s="159"/>
      <c r="H90" s="161"/>
      <c r="I90" s="161"/>
      <c r="J90" s="161"/>
      <c r="K90" s="161"/>
      <c r="L90" s="161"/>
      <c r="M90" s="161"/>
      <c r="N90" s="161"/>
      <c r="O90" s="161"/>
    </row>
    <row r="91" spans="1:21" ht="15.75" x14ac:dyDescent="0.25">
      <c r="B91" s="109"/>
      <c r="C91" s="109"/>
      <c r="D91" s="109"/>
      <c r="E91" s="109"/>
      <c r="F91" s="159"/>
      <c r="G91" s="159"/>
      <c r="H91" s="161"/>
      <c r="I91" s="161"/>
      <c r="J91" s="161"/>
      <c r="K91" s="161"/>
      <c r="L91" s="161"/>
      <c r="M91" s="161"/>
      <c r="N91" s="161"/>
      <c r="O91" s="161"/>
    </row>
    <row r="92" spans="1:21" x14ac:dyDescent="0.25">
      <c r="B92" s="110"/>
      <c r="C92" s="110"/>
      <c r="D92" s="110"/>
      <c r="E92" s="110"/>
      <c r="F92" s="159"/>
      <c r="G92" s="159"/>
      <c r="H92" s="161"/>
      <c r="I92" s="161"/>
      <c r="J92" s="161"/>
      <c r="K92" s="161"/>
      <c r="L92" s="161"/>
      <c r="M92" s="161"/>
      <c r="N92" s="161"/>
      <c r="O92" s="161"/>
    </row>
    <row r="93" spans="1:21" x14ac:dyDescent="0.25">
      <c r="B93" s="110"/>
      <c r="C93" s="110"/>
      <c r="D93" s="110"/>
      <c r="E93" s="110"/>
      <c r="F93" s="159"/>
      <c r="G93" s="159"/>
      <c r="H93" s="161"/>
      <c r="I93" s="161"/>
      <c r="J93" s="161"/>
      <c r="K93" s="161"/>
      <c r="L93" s="161"/>
      <c r="M93" s="161"/>
      <c r="N93" s="161"/>
      <c r="O93" s="161"/>
    </row>
    <row r="94" spans="1:21" x14ac:dyDescent="0.25">
      <c r="B94" s="110"/>
      <c r="C94" s="110"/>
      <c r="D94" s="110"/>
      <c r="E94" s="110"/>
      <c r="F94" s="159"/>
      <c r="G94" s="159"/>
      <c r="H94" s="161"/>
      <c r="I94" s="161"/>
      <c r="J94" s="161"/>
      <c r="K94" s="161"/>
      <c r="L94" s="161"/>
      <c r="M94" s="161"/>
      <c r="N94" s="161"/>
      <c r="O94" s="161"/>
    </row>
    <row r="95" spans="1:21" x14ac:dyDescent="0.25">
      <c r="B95" s="110"/>
      <c r="C95" s="110"/>
      <c r="D95" s="110"/>
      <c r="E95" s="110"/>
      <c r="F95" s="159"/>
      <c r="G95" s="159"/>
      <c r="H95" s="161"/>
      <c r="I95" s="161"/>
      <c r="J95" s="161"/>
      <c r="K95" s="161"/>
      <c r="L95" s="161"/>
      <c r="M95" s="161"/>
      <c r="N95" s="161"/>
      <c r="O95" s="161"/>
    </row>
    <row r="96" spans="1:21" ht="14.25" customHeight="1" x14ac:dyDescent="0.25">
      <c r="B96" s="110"/>
      <c r="C96" s="110"/>
      <c r="D96" s="110"/>
      <c r="E96" s="110"/>
      <c r="F96" s="162"/>
      <c r="G96" s="162"/>
      <c r="H96" s="163"/>
      <c r="I96" s="163"/>
      <c r="J96" s="163"/>
      <c r="K96" s="164"/>
      <c r="L96" s="164"/>
      <c r="M96" s="164"/>
      <c r="N96" s="164"/>
      <c r="O96" s="102"/>
    </row>
    <row r="97" spans="6:15" x14ac:dyDescent="0.25">
      <c r="F97"/>
      <c r="G97"/>
      <c r="H97" s="163"/>
      <c r="I97" s="163"/>
      <c r="J97" s="163"/>
      <c r="K97" s="164"/>
      <c r="L97" s="164"/>
      <c r="M97" s="164"/>
      <c r="N97" s="164"/>
      <c r="O97" s="102"/>
    </row>
    <row r="98" spans="6:15" x14ac:dyDescent="0.25">
      <c r="F98" s="3"/>
      <c r="G98" s="3"/>
      <c r="H98" s="100"/>
      <c r="I98" s="100"/>
      <c r="J98" s="100"/>
      <c r="K98" s="101"/>
      <c r="L98" s="101"/>
      <c r="M98" s="101"/>
      <c r="N98" s="101"/>
      <c r="O98" s="102"/>
    </row>
    <row r="99" spans="6:15" x14ac:dyDescent="0.25">
      <c r="F99" s="3"/>
      <c r="G99" s="3"/>
      <c r="H99" s="100"/>
      <c r="I99" s="100"/>
      <c r="J99" s="100"/>
      <c r="K99" s="101"/>
      <c r="L99" s="101"/>
      <c r="M99" s="101"/>
      <c r="N99" s="101"/>
      <c r="O99" s="102"/>
    </row>
    <row r="100" spans="6:15" x14ac:dyDescent="0.25">
      <c r="F100" s="3"/>
      <c r="G100" s="3"/>
      <c r="H100" s="100"/>
      <c r="I100" s="100"/>
      <c r="J100" s="100"/>
      <c r="K100" s="101"/>
      <c r="L100" s="101"/>
      <c r="M100" s="101"/>
      <c r="N100" s="101"/>
      <c r="O100" s="102"/>
    </row>
    <row r="101" spans="6:15" x14ac:dyDescent="0.25">
      <c r="F101" s="3"/>
      <c r="G101" s="3"/>
      <c r="H101" s="103"/>
      <c r="I101" s="104"/>
      <c r="J101" s="104"/>
      <c r="K101" s="104"/>
      <c r="L101" s="104"/>
      <c r="M101" s="104"/>
      <c r="N101" s="104"/>
      <c r="O101" s="110"/>
    </row>
    <row r="102" spans="6:15" x14ac:dyDescent="0.25">
      <c r="F102" s="3"/>
      <c r="G102" s="3"/>
      <c r="H102" s="103"/>
      <c r="I102" s="104"/>
      <c r="J102" s="104"/>
      <c r="K102" s="104"/>
      <c r="L102" s="104"/>
      <c r="M102" s="104"/>
      <c r="N102" s="104"/>
    </row>
    <row r="103" spans="6:15" x14ac:dyDescent="0.25">
      <c r="F103" s="3"/>
      <c r="G103" s="3"/>
      <c r="H103" s="103"/>
      <c r="I103" s="104"/>
      <c r="J103" s="104"/>
      <c r="K103" s="104"/>
      <c r="L103" s="104"/>
      <c r="M103" s="104"/>
      <c r="N103" s="104"/>
    </row>
    <row r="104" spans="6:15" x14ac:dyDescent="0.25">
      <c r="F104" s="3"/>
      <c r="G104" s="3"/>
      <c r="H104" s="103"/>
      <c r="I104" s="104"/>
      <c r="J104" s="104"/>
      <c r="K104" s="104"/>
      <c r="L104" s="104"/>
      <c r="M104" s="104"/>
      <c r="N104" s="104"/>
    </row>
    <row r="105" spans="6:15" x14ac:dyDescent="0.25">
      <c r="F105" s="3"/>
      <c r="G105" s="3"/>
      <c r="H105" s="103"/>
      <c r="I105" s="104"/>
      <c r="J105" s="104"/>
      <c r="K105" s="104"/>
      <c r="L105" s="104"/>
      <c r="M105" s="104"/>
      <c r="N105" s="104"/>
    </row>
  </sheetData>
  <mergeCells count="144">
    <mergeCell ref="F18:G18"/>
    <mergeCell ref="Q18:R18"/>
    <mergeCell ref="F19:G19"/>
    <mergeCell ref="Q19:R19"/>
    <mergeCell ref="F26:G26"/>
    <mergeCell ref="Q26:R26"/>
    <mergeCell ref="F32:G32"/>
    <mergeCell ref="Q32:R32"/>
    <mergeCell ref="F38:G38"/>
    <mergeCell ref="Q38:S38"/>
    <mergeCell ref="L1:O1"/>
    <mergeCell ref="L2:O2"/>
    <mergeCell ref="L3:O3"/>
    <mergeCell ref="N4:O4"/>
    <mergeCell ref="L5:M5"/>
    <mergeCell ref="N5:O5"/>
    <mergeCell ref="F11:G11"/>
    <mergeCell ref="Q11:R11"/>
    <mergeCell ref="F12:G12"/>
    <mergeCell ref="Q12:R12"/>
    <mergeCell ref="B6:D7"/>
    <mergeCell ref="F6:O7"/>
    <mergeCell ref="Q6:T7"/>
    <mergeCell ref="B9:D9"/>
    <mergeCell ref="F9:O9"/>
    <mergeCell ref="F10:G10"/>
    <mergeCell ref="Q10:R10"/>
    <mergeCell ref="F17:G17"/>
    <mergeCell ref="Q17:R17"/>
    <mergeCell ref="F14:G14"/>
    <mergeCell ref="Q14:R14"/>
    <mergeCell ref="F15:G15"/>
    <mergeCell ref="Q15:R15"/>
    <mergeCell ref="F16:G16"/>
    <mergeCell ref="Q16:R16"/>
    <mergeCell ref="F13:G13"/>
    <mergeCell ref="Q13:R13"/>
    <mergeCell ref="U22:U23"/>
    <mergeCell ref="F23:G23"/>
    <mergeCell ref="Q23:R23"/>
    <mergeCell ref="F24:G24"/>
    <mergeCell ref="Q24:R24"/>
    <mergeCell ref="U24:U25"/>
    <mergeCell ref="F25:G25"/>
    <mergeCell ref="Q25:R25"/>
    <mergeCell ref="F20:G20"/>
    <mergeCell ref="Q20:R20"/>
    <mergeCell ref="F21:O21"/>
    <mergeCell ref="Q21:R21"/>
    <mergeCell ref="F22:O22"/>
    <mergeCell ref="Q22:R22"/>
    <mergeCell ref="U26:U27"/>
    <mergeCell ref="F27:G27"/>
    <mergeCell ref="Q27:R27"/>
    <mergeCell ref="F28:G28"/>
    <mergeCell ref="Q28:R28"/>
    <mergeCell ref="U28:U29"/>
    <mergeCell ref="F29:O29"/>
    <mergeCell ref="Q29:R29"/>
    <mergeCell ref="F30:G30"/>
    <mergeCell ref="Q30:R30"/>
    <mergeCell ref="U30:U31"/>
    <mergeCell ref="F31:G31"/>
    <mergeCell ref="Q31:R31"/>
    <mergeCell ref="U32:U33"/>
    <mergeCell ref="F33:G33"/>
    <mergeCell ref="F34:G34"/>
    <mergeCell ref="U34:U35"/>
    <mergeCell ref="F35:O35"/>
    <mergeCell ref="Q35:R35"/>
    <mergeCell ref="F36:G36"/>
    <mergeCell ref="Q36:S36"/>
    <mergeCell ref="U36:U37"/>
    <mergeCell ref="F37:G37"/>
    <mergeCell ref="Q37:S37"/>
    <mergeCell ref="U38:U39"/>
    <mergeCell ref="F39:G39"/>
    <mergeCell ref="Q39:S39"/>
    <mergeCell ref="F40:G40"/>
    <mergeCell ref="Q40:S40"/>
    <mergeCell ref="U40:U41"/>
    <mergeCell ref="F41:G41"/>
    <mergeCell ref="F46:G46"/>
    <mergeCell ref="U46:U47"/>
    <mergeCell ref="F47:G47"/>
    <mergeCell ref="Q47:T50"/>
    <mergeCell ref="F48:G48"/>
    <mergeCell ref="F49:G49"/>
    <mergeCell ref="F50:G50"/>
    <mergeCell ref="F42:G42"/>
    <mergeCell ref="U42:U43"/>
    <mergeCell ref="F43:G43"/>
    <mergeCell ref="F44:G44"/>
    <mergeCell ref="U44:U45"/>
    <mergeCell ref="F45:O45"/>
    <mergeCell ref="Q41:T41"/>
    <mergeCell ref="Q42:T46"/>
    <mergeCell ref="Q55:R55"/>
    <mergeCell ref="B56:C56"/>
    <mergeCell ref="F56:G56"/>
    <mergeCell ref="B57:C57"/>
    <mergeCell ref="F57:G57"/>
    <mergeCell ref="B58:D58"/>
    <mergeCell ref="F58:G58"/>
    <mergeCell ref="F51:O51"/>
    <mergeCell ref="F52:G52"/>
    <mergeCell ref="F53:G53"/>
    <mergeCell ref="F54:G54"/>
    <mergeCell ref="B55:C55"/>
    <mergeCell ref="F55:G55"/>
    <mergeCell ref="Q65:R65"/>
    <mergeCell ref="F66:G66"/>
    <mergeCell ref="F67:G67"/>
    <mergeCell ref="Q67:R67"/>
    <mergeCell ref="F68:G68"/>
    <mergeCell ref="B69:D69"/>
    <mergeCell ref="F69:G69"/>
    <mergeCell ref="B59:D68"/>
    <mergeCell ref="F59:G59"/>
    <mergeCell ref="F60:G60"/>
    <mergeCell ref="F61:G61"/>
    <mergeCell ref="F62:G62"/>
    <mergeCell ref="F63:G63"/>
    <mergeCell ref="F64:O64"/>
    <mergeCell ref="F65:G65"/>
    <mergeCell ref="B70:D70"/>
    <mergeCell ref="F70:G70"/>
    <mergeCell ref="B71:D71"/>
    <mergeCell ref="F71:O71"/>
    <mergeCell ref="B72:D75"/>
    <mergeCell ref="F72:G72"/>
    <mergeCell ref="F73:G73"/>
    <mergeCell ref="F74:G74"/>
    <mergeCell ref="F75:G75"/>
    <mergeCell ref="F81:G81"/>
    <mergeCell ref="B87:C87"/>
    <mergeCell ref="B88:C88"/>
    <mergeCell ref="B76:D76"/>
    <mergeCell ref="F76:G76"/>
    <mergeCell ref="F77:O77"/>
    <mergeCell ref="F78:G78"/>
    <mergeCell ref="F79:G79"/>
    <mergeCell ref="B80:D80"/>
    <mergeCell ref="F80:G80"/>
  </mergeCells>
  <conditionalFormatting sqref="B51:B52">
    <cfRule type="containsText" dxfId="45" priority="11" operator="containsText" text="n/a">
      <formula>NOT(ISERROR(SEARCH("n/a",B51)))</formula>
    </cfRule>
  </conditionalFormatting>
  <conditionalFormatting sqref="B55 D55">
    <cfRule type="containsText" dxfId="44" priority="18" operator="containsText" text="n/a">
      <formula>NOT(ISERROR(SEARCH("n/a",B55)))</formula>
    </cfRule>
  </conditionalFormatting>
  <conditionalFormatting sqref="B58">
    <cfRule type="containsText" dxfId="43" priority="19" operator="containsText" text="n/a">
      <formula>NOT(ISERROR(SEARCH("n/a",B58)))</formula>
    </cfRule>
  </conditionalFormatting>
  <conditionalFormatting sqref="B69">
    <cfRule type="containsText" dxfId="42" priority="13" operator="containsText" text="n/a">
      <formula>NOT(ISERROR(SEARCH("n/a",B69)))</formula>
    </cfRule>
  </conditionalFormatting>
  <conditionalFormatting sqref="B71">
    <cfRule type="containsText" dxfId="41" priority="5" operator="containsText" text="n/a">
      <formula>NOT(ISERROR(SEARCH("n/a",B71)))</formula>
    </cfRule>
  </conditionalFormatting>
  <conditionalFormatting sqref="B53:D53">
    <cfRule type="containsText" dxfId="40" priority="8" operator="containsText" text="n/a">
      <formula>NOT(ISERROR(SEARCH("n/a",B53)))</formula>
    </cfRule>
  </conditionalFormatting>
  <conditionalFormatting sqref="B8:O8 B10:D10">
    <cfRule type="containsText" dxfId="39" priority="41" operator="containsText" text="n/a">
      <formula>NOT(ISERROR(SEARCH("n/a",B8)))</formula>
    </cfRule>
  </conditionalFormatting>
  <conditionalFormatting sqref="C14:C50">
    <cfRule type="containsErrors" dxfId="38" priority="37">
      <formula>ISERROR(C14)</formula>
    </cfRule>
  </conditionalFormatting>
  <conditionalFormatting sqref="C14:C52">
    <cfRule type="containsText" dxfId="37" priority="10" operator="containsText" text="n/a">
      <formula>NOT(ISERROR(SEARCH("n/a",C14)))</formula>
    </cfRule>
  </conditionalFormatting>
  <conditionalFormatting sqref="D21:D50">
    <cfRule type="containsErrors" dxfId="36" priority="36">
      <formula>ISERROR(D21)</formula>
    </cfRule>
  </conditionalFormatting>
  <conditionalFormatting sqref="D21:D52">
    <cfRule type="containsText" dxfId="35" priority="9" operator="containsText" text="n/a">
      <formula>NOT(ISERROR(SEARCH("n/a",D21)))</formula>
    </cfRule>
  </conditionalFormatting>
  <conditionalFormatting sqref="E10:E50">
    <cfRule type="containsErrors" dxfId="34" priority="45">
      <formula>ISERROR(E10)</formula>
    </cfRule>
  </conditionalFormatting>
  <conditionalFormatting sqref="F9:F10">
    <cfRule type="containsText" dxfId="33" priority="42" operator="containsText" text="n/a">
      <formula>NOT(ISERROR(SEARCH("n/a",F9)))</formula>
    </cfRule>
  </conditionalFormatting>
  <conditionalFormatting sqref="F20:F22">
    <cfRule type="containsText" dxfId="32" priority="21" operator="containsText" text="n/a">
      <formula>NOT(ISERROR(SEARCH("n/a",F20)))</formula>
    </cfRule>
  </conditionalFormatting>
  <conditionalFormatting sqref="F29">
    <cfRule type="containsText" dxfId="31" priority="6" operator="containsText" text="n/a">
      <formula>NOT(ISERROR(SEARCH("n/a",F29)))</formula>
    </cfRule>
  </conditionalFormatting>
  <conditionalFormatting sqref="F35">
    <cfRule type="containsText" dxfId="30" priority="29" operator="containsText" text="n/a">
      <formula>NOT(ISERROR(SEARCH("n/a",F35)))</formula>
    </cfRule>
  </conditionalFormatting>
  <conditionalFormatting sqref="F45">
    <cfRule type="containsText" dxfId="29" priority="28" operator="containsText" text="n/a">
      <formula>NOT(ISERROR(SEARCH("n/a",F45)))</formula>
    </cfRule>
  </conditionalFormatting>
  <conditionalFormatting sqref="F51">
    <cfRule type="containsText" dxfId="28" priority="27" operator="containsText" text="n/a">
      <formula>NOT(ISERROR(SEARCH("n/a",F51)))</formula>
    </cfRule>
  </conditionalFormatting>
  <conditionalFormatting sqref="F64">
    <cfRule type="containsText" dxfId="27" priority="26" operator="containsText" text="n/a">
      <formula>NOT(ISERROR(SEARCH("n/a",F64)))</formula>
    </cfRule>
  </conditionalFormatting>
  <conditionalFormatting sqref="F71">
    <cfRule type="containsText" dxfId="26" priority="25" operator="containsText" text="n/a">
      <formula>NOT(ISERROR(SEARCH("n/a",F71)))</formula>
    </cfRule>
  </conditionalFormatting>
  <conditionalFormatting sqref="F77">
    <cfRule type="containsText" dxfId="25" priority="24" operator="containsText" text="n/a">
      <formula>NOT(ISERROR(SEARCH("n/a",F77)))</formula>
    </cfRule>
  </conditionalFormatting>
  <conditionalFormatting sqref="H10:O10">
    <cfRule type="containsText" dxfId="24" priority="40" operator="containsText" text="n/a">
      <formula>NOT(ISERROR(SEARCH("n/a",H10)))</formula>
    </cfRule>
  </conditionalFormatting>
  <conditionalFormatting sqref="H20:O20">
    <cfRule type="containsText" dxfId="23" priority="22" operator="containsText" text="n/a">
      <formula>NOT(ISERROR(SEARCH("n/a",H20)))</formula>
    </cfRule>
  </conditionalFormatting>
  <conditionalFormatting sqref="N11:N16 M11:M18 H11:L19">
    <cfRule type="containsText" dxfId="22" priority="44" operator="containsText" text="n/a">
      <formula>NOT(ISERROR(SEARCH("n/a",H11)))</formula>
    </cfRule>
    <cfRule type="containsErrors" dxfId="21" priority="49">
      <formula>ISERROR(H11)</formula>
    </cfRule>
  </conditionalFormatting>
  <conditionalFormatting sqref="O11:O14">
    <cfRule type="containsText" dxfId="20" priority="38" operator="containsText" text="n/a">
      <formula>NOT(ISERROR(SEARCH("n/a",O11)))</formula>
    </cfRule>
    <cfRule type="containsErrors" dxfId="19" priority="39">
      <formula>ISERROR(O11)</formula>
    </cfRule>
  </conditionalFormatting>
  <conditionalFormatting sqref="Q36:Q39">
    <cfRule type="containsText" dxfId="18" priority="30" operator="containsText" text="Rate">
      <formula>NOT(ISERROR(SEARCH("Rate",Q36)))</formula>
    </cfRule>
    <cfRule type="expression" dxfId="17" priority="31">
      <formula>Output_NetPrice_JM &lt; 99</formula>
    </cfRule>
    <cfRule type="expression" dxfId="16" priority="32">
      <formula>Output_NetPrice_ExpNR &lt; 99</formula>
    </cfRule>
  </conditionalFormatting>
  <conditionalFormatting sqref="Q55">
    <cfRule type="containsText" dxfId="15" priority="23" operator="containsText" text="n/a">
      <formula>NOT(ISERROR(SEARCH("n/a",Q55)))</formula>
    </cfRule>
  </conditionalFormatting>
  <conditionalFormatting sqref="Q65">
    <cfRule type="containsText" dxfId="14" priority="12" operator="containsText" text="n/a">
      <formula>NOT(ISERROR(SEARCH("n/a",Q65)))</formula>
    </cfRule>
  </conditionalFormatting>
  <conditionalFormatting sqref="Q67">
    <cfRule type="containsText" dxfId="13" priority="15" operator="containsText" text="n/a">
      <formula>NOT(ISERROR(SEARCH("n/a",Q67)))</formula>
    </cfRule>
  </conditionalFormatting>
  <conditionalFormatting sqref="Q8:T8">
    <cfRule type="containsText" dxfId="12" priority="43" operator="containsText" text="n/a">
      <formula>NOT(ISERROR(SEARCH("n/a",Q8)))</formula>
    </cfRule>
  </conditionalFormatting>
  <conditionalFormatting sqref="Q51:T54">
    <cfRule type="containsText" dxfId="11" priority="7" operator="containsText" text="n/a">
      <formula>NOT(ISERROR(SEARCH("n/a",Q51)))</formula>
    </cfRule>
  </conditionalFormatting>
  <conditionalFormatting sqref="S55:T55">
    <cfRule type="containsText" dxfId="10" priority="14" operator="containsText" text="n/a">
      <formula>NOT(ISERROR(SEARCH("n/a",S55)))</formula>
    </cfRule>
  </conditionalFormatting>
  <conditionalFormatting sqref="S62:T62">
    <cfRule type="containsText" dxfId="9" priority="4" operator="containsText" text="n/a">
      <formula>NOT(ISERROR(SEARCH("n/a",S62)))</formula>
    </cfRule>
  </conditionalFormatting>
  <conditionalFormatting sqref="S70:T70">
    <cfRule type="containsText" dxfId="8" priority="16" operator="containsText" text="n/a">
      <formula>NOT(ISERROR(SEARCH("n/a",S70)))</formula>
    </cfRule>
  </conditionalFormatting>
  <conditionalFormatting sqref="S72:T72">
    <cfRule type="containsText" dxfId="7" priority="20" operator="containsText" text="n/a">
      <formula>NOT(ISERROR(SEARCH("n/a",S72)))</formula>
    </cfRule>
  </conditionalFormatting>
  <conditionalFormatting sqref="S74:T74">
    <cfRule type="containsText" dxfId="6" priority="17" operator="containsText" text="n/a">
      <formula>NOT(ISERROR(SEARCH("n/a",S74)))</formula>
    </cfRule>
  </conditionalFormatting>
  <conditionalFormatting sqref="T36:T39">
    <cfRule type="containsText" dxfId="5" priority="33" operator="containsText" text="Rate">
      <formula>NOT(ISERROR(SEARCH("Rate",T36)))</formula>
    </cfRule>
    <cfRule type="expression" dxfId="4" priority="34">
      <formula>Output_NetPrice_JM &lt; 99</formula>
    </cfRule>
    <cfRule type="expression" dxfId="3" priority="35">
      <formula>Output_NetPrice_ExpNR &lt; 99</formula>
    </cfRule>
  </conditionalFormatting>
  <conditionalFormatting sqref="S10">
    <cfRule type="containsText" dxfId="2" priority="1" operator="containsText" text="Rate">
      <formula>NOT(ISERROR(SEARCH("Rate",S10)))</formula>
    </cfRule>
    <cfRule type="expression" dxfId="1" priority="2">
      <formula>Output_NetPrice_JM &lt; 99</formula>
    </cfRule>
    <cfRule type="expression" dxfId="0" priority="3">
      <formula>Output_NetPrice_ExpNR &lt; 99</formula>
    </cfRule>
  </conditionalFormatting>
  <pageMargins left="0.25" right="0.25" top="0.75" bottom="0.75" header="0.3" footer="0.3"/>
  <pageSetup paperSize="3" scale="49" orientation="landscape" r:id="rId1"/>
  <drawing r:id="rId2"/>
  <extLst>
    <ext xmlns:x14="http://schemas.microsoft.com/office/spreadsheetml/2009/9/main" uri="{CCE6A557-97BC-4b89-ADB6-D9C93CAAB3DF}">
      <x14:dataValidations xmlns:xm="http://schemas.microsoft.com/office/excel/2006/main" count="23">
        <x14:dataValidation type="list" allowBlank="1" showInputMessage="1" showErrorMessage="1" xr:uid="{EE4884F3-8230-4BEA-B069-B9A6E5F4A688}">
          <x14:formula1>
            <xm:f>'Feed(WS)'!$S$2:$S$4</xm:f>
          </x14:formula1>
          <xm:sqref>S32</xm:sqref>
        </x14:dataValidation>
        <x14:dataValidation type="list" allowBlank="1" showInputMessage="1" showErrorMessage="1" xr:uid="{9311E734-C47D-4F3A-8F84-DD8EFAAA9EBB}">
          <x14:formula1>
            <xm:f>'Feed(WS)'!$R$2:$R$5</xm:f>
          </x14:formula1>
          <xm:sqref>S31</xm:sqref>
        </x14:dataValidation>
        <x14:dataValidation type="list" allowBlank="1" showInputMessage="1" showErrorMessage="1" xr:uid="{93518DFB-0851-4512-A7A8-5B806708B064}">
          <x14:formula1>
            <xm:f>'Feed(WS)'!$N$2:$N$6</xm:f>
          </x14:formula1>
          <xm:sqref>S30</xm:sqref>
        </x14:dataValidation>
        <x14:dataValidation type="list" allowBlank="1" showInputMessage="1" showErrorMessage="1" xr:uid="{EE291DE5-7528-406E-827C-85AD84CFACD2}">
          <x14:formula1>
            <xm:f>'Feed(WS)'!$T$2:$T$17</xm:f>
          </x14:formula1>
          <xm:sqref>S29</xm:sqref>
        </x14:dataValidation>
        <x14:dataValidation type="list" allowBlank="1" showInputMessage="1" showErrorMessage="1" xr:uid="{3D3DD4EA-5CCE-4954-8E3A-C1BDC4DAE0CC}">
          <x14:formula1>
            <xm:f>'Feed(WS)'!$J$14:$J$16</xm:f>
          </x14:formula1>
          <xm:sqref>S28</xm:sqref>
        </x14:dataValidation>
        <x14:dataValidation type="list" allowBlank="1" showInputMessage="1" showErrorMessage="1" xr:uid="{F59126BC-E0EC-4D83-9E0F-0A5B9EAFA183}">
          <x14:formula1>
            <xm:f>'Feed(WS)'!$H$2:$H$10</xm:f>
          </x14:formula1>
          <xm:sqref>S27</xm:sqref>
        </x14:dataValidation>
        <x14:dataValidation type="list" allowBlank="1" showInputMessage="1" showErrorMessage="1" xr:uid="{EB6C5E91-8A85-4B16-95C8-4245912BC886}">
          <x14:formula1>
            <xm:f>'Feed(WS)'!$I$2:$I$4</xm:f>
          </x14:formula1>
          <xm:sqref>S26</xm:sqref>
        </x14:dataValidation>
        <x14:dataValidation type="list" allowBlank="1" showInputMessage="1" showErrorMessage="1" xr:uid="{BC12B18D-D75A-4459-A452-04E946EC74E3}">
          <x14:formula1>
            <xm:f>'Feed(WS)'!$M$2:$M$13</xm:f>
          </x14:formula1>
          <xm:sqref>S25</xm:sqref>
        </x14:dataValidation>
        <x14:dataValidation type="list" allowBlank="1" showInputMessage="1" showErrorMessage="1" xr:uid="{907D079E-0B14-41AE-834C-80C3D2B98AE4}">
          <x14:formula1>
            <xm:f>'Feed(WS)'!$P$2:$P$7</xm:f>
          </x14:formula1>
          <xm:sqref>S19</xm:sqref>
        </x14:dataValidation>
        <x14:dataValidation type="list" allowBlank="1" showInputMessage="1" showErrorMessage="1" xr:uid="{596B23F1-812F-46C9-AD4A-EDE12C28B98F}">
          <x14:formula1>
            <xm:f>'Feed(WS)'!$E$14:$E$19</xm:f>
          </x14:formula1>
          <xm:sqref>S16</xm:sqref>
        </x14:dataValidation>
        <x14:dataValidation type="list" allowBlank="1" showInputMessage="1" showErrorMessage="1" xr:uid="{AFF051C1-C1A3-468E-86ED-974F58B58265}">
          <x14:formula1>
            <xm:f>'Feed(WS)'!$D$14:$D$20</xm:f>
          </x14:formula1>
          <xm:sqref>S15</xm:sqref>
        </x14:dataValidation>
        <x14:dataValidation type="list" allowBlank="1" showInputMessage="1" showErrorMessage="1" xr:uid="{F1BD0443-897D-440A-B5FE-436003BEFB67}">
          <x14:formula1>
            <xm:f>'Feed(WS)'!$C$14:$C$18</xm:f>
          </x14:formula1>
          <xm:sqref>S14</xm:sqref>
        </x14:dataValidation>
        <x14:dataValidation type="list" allowBlank="1" showInputMessage="1" showErrorMessage="1" xr:uid="{F61919CE-0A10-4E5E-A07C-52CE3872A6F1}">
          <x14:formula1>
            <xm:f>'Feed(WS)'!$A$2:$A$12</xm:f>
          </x14:formula1>
          <xm:sqref>S12</xm:sqref>
        </x14:dataValidation>
        <x14:dataValidation type="list" allowBlank="1" showInputMessage="1" showErrorMessage="1" xr:uid="{9B4512BE-6A23-4F1C-BA38-444A44B8ECF1}">
          <x14:formula1>
            <xm:f>'Feed(WS)'!$B$2:$B$11</xm:f>
          </x14:formula1>
          <xm:sqref>S11</xm:sqref>
        </x14:dataValidation>
        <x14:dataValidation type="list" allowBlank="1" showInputMessage="1" showErrorMessage="1" xr:uid="{94B70643-04E2-4643-B3A3-3CF32C0BFDCD}">
          <x14:formula1>
            <xm:f>'Feed(WS)'!$N$85:$N$124</xm:f>
          </x14:formula1>
          <xm:sqref>S10</xm:sqref>
        </x14:dataValidation>
        <x14:dataValidation type="list" allowBlank="1" showInputMessage="1" showErrorMessage="1" xr:uid="{CE7C8F9D-5424-4193-93B3-B8D0431D9838}">
          <x14:formula1>
            <xm:f>'Feed(WS)'!$K$2:$K$10</xm:f>
          </x14:formula1>
          <xm:sqref>S24</xm:sqref>
        </x14:dataValidation>
        <x14:dataValidation type="list" allowBlank="1" showInputMessage="1" showErrorMessage="1" xr:uid="{D330A8C5-80AA-4107-BDDD-8B17686A2E72}">
          <x14:formula1>
            <xm:f>'Feed(WS)'!$G$15:$G$17</xm:f>
          </x14:formula1>
          <xm:sqref>S22</xm:sqref>
        </x14:dataValidation>
        <x14:dataValidation type="list" allowBlank="1" showInputMessage="1" showErrorMessage="1" xr:uid="{0203A464-EB35-4649-A360-83E30D103757}">
          <x14:formula1>
            <xm:f>'Feed(WS)'!$L$6</xm:f>
          </x14:formula1>
          <xm:sqref>S23</xm:sqref>
        </x14:dataValidation>
        <x14:dataValidation type="list" allowBlank="1" showInputMessage="1" showErrorMessage="1" xr:uid="{B41B54AC-4120-4233-BE8D-5AD61C89718B}">
          <x14:formula1>
            <xm:f>'Feed(WS)'!$J$2:$J$7</xm:f>
          </x14:formula1>
          <xm:sqref>S21</xm:sqref>
        </x14:dataValidation>
        <x14:dataValidation type="list" allowBlank="1" showInputMessage="1" showErrorMessage="1" xr:uid="{FAAC58D2-43FB-4FAC-A6CA-BC577DE477D3}">
          <x14:formula1>
            <xm:f>'Feed(WS)'!$D$5</xm:f>
          </x14:formula1>
          <xm:sqref>S17</xm:sqref>
        </x14:dataValidation>
        <x14:dataValidation type="list" allowBlank="1" showInputMessage="1" showErrorMessage="1" xr:uid="{FD4EC26C-67C9-4D73-9B5F-31506C5C9586}">
          <x14:formula1>
            <xm:f>'Feed(WS)'!$C$5:$C$10</xm:f>
          </x14:formula1>
          <xm:sqref>S13</xm:sqref>
        </x14:dataValidation>
        <x14:dataValidation type="list" allowBlank="1" showInputMessage="1" showErrorMessage="1" xr:uid="{1760F7EB-2322-46E8-8ABC-98FC714A6712}">
          <x14:formula1>
            <xm:f>'Feed(WS)'!$E$2:$E$10</xm:f>
          </x14:formula1>
          <xm:sqref>S18</xm:sqref>
        </x14:dataValidation>
        <x14:dataValidation type="list" allowBlank="1" showInputMessage="1" showErrorMessage="1" xr:uid="{88F557A2-84B7-477F-B415-42D9F843848D}">
          <x14:formula1>
            <xm:f>'Feed(WS)'!$G$2:$G$13</xm:f>
          </x14:formula1>
          <xm:sqref>S20</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2D549D-365C-4901-9696-91A21BA13087}">
  <sheetPr codeName="Sheet24"/>
  <dimension ref="A1:P35"/>
  <sheetViews>
    <sheetView showGridLines="0" topLeftCell="A2" zoomScale="85" zoomScaleNormal="85" workbookViewId="0">
      <selection activeCell="B20" sqref="B20"/>
    </sheetView>
  </sheetViews>
  <sheetFormatPr defaultRowHeight="15" x14ac:dyDescent="0.25"/>
  <cols>
    <col min="1" max="1" width="20.7109375" style="452" customWidth="1"/>
    <col min="2" max="2" width="36.42578125" style="452" customWidth="1"/>
    <col min="3" max="3" width="28.140625" style="452" customWidth="1"/>
    <col min="4" max="4" width="26.42578125" style="452" customWidth="1"/>
    <col min="5" max="5" width="9.140625" style="452"/>
    <col min="6" max="6" width="44" style="463" customWidth="1"/>
    <col min="7" max="7" width="42.5703125" style="452" customWidth="1"/>
    <col min="8" max="9" width="43.28515625" style="452" customWidth="1"/>
    <col min="10" max="10" width="22.28515625" style="452" customWidth="1"/>
    <col min="11" max="14" width="9.140625" style="452"/>
    <col min="15" max="15" width="14.42578125" style="452" customWidth="1"/>
    <col min="16" max="16384" width="9.140625" style="452"/>
  </cols>
  <sheetData>
    <row r="1" spans="1:16" ht="123" customHeight="1" thickBot="1" x14ac:dyDescent="0.3">
      <c r="A1" s="1025" t="s">
        <v>891</v>
      </c>
      <c r="B1" s="1026"/>
      <c r="C1" s="1026"/>
      <c r="D1" s="1027"/>
      <c r="E1" s="505"/>
    </row>
    <row r="2" spans="1:16" ht="15" customHeight="1" thickBot="1" x14ac:dyDescent="0.3">
      <c r="A2" s="1035" t="s">
        <v>772</v>
      </c>
      <c r="B2" s="1036"/>
      <c r="C2" s="1036"/>
      <c r="D2" s="1037"/>
      <c r="F2" s="1021" t="s">
        <v>750</v>
      </c>
      <c r="G2" s="1022"/>
      <c r="H2" s="1013" t="s">
        <v>743</v>
      </c>
      <c r="I2" s="1014"/>
      <c r="K2" s="466"/>
      <c r="L2" s="871"/>
      <c r="M2" s="871"/>
      <c r="O2" s="464"/>
      <c r="P2" s="463"/>
    </row>
    <row r="3" spans="1:16" x14ac:dyDescent="0.25">
      <c r="A3" s="486" t="s">
        <v>838</v>
      </c>
      <c r="B3" s="486" t="s">
        <v>839</v>
      </c>
      <c r="C3" s="486" t="s">
        <v>840</v>
      </c>
      <c r="D3" s="486" t="s">
        <v>841</v>
      </c>
      <c r="F3" s="1023"/>
      <c r="G3" s="1024"/>
      <c r="H3" s="1017" t="s">
        <v>748</v>
      </c>
      <c r="I3" s="1018"/>
      <c r="K3" s="466"/>
      <c r="L3" s="872"/>
      <c r="M3" s="872"/>
      <c r="O3" s="464"/>
      <c r="P3" s="463"/>
    </row>
    <row r="4" spans="1:16" ht="15.75" thickBot="1" x14ac:dyDescent="0.3">
      <c r="A4" s="486" t="s">
        <v>842</v>
      </c>
      <c r="B4" s="486" t="s">
        <v>843</v>
      </c>
      <c r="C4" s="486" t="s">
        <v>844</v>
      </c>
      <c r="D4" s="486" t="s">
        <v>845</v>
      </c>
      <c r="F4" s="1023"/>
      <c r="G4" s="1024"/>
      <c r="H4" s="1019"/>
      <c r="I4" s="1020"/>
      <c r="K4" s="466"/>
      <c r="L4" s="872"/>
      <c r="M4" s="872"/>
      <c r="O4" s="464"/>
      <c r="P4" s="463"/>
    </row>
    <row r="5" spans="1:16" ht="15.75" thickBot="1" x14ac:dyDescent="0.3">
      <c r="A5" s="486" t="s">
        <v>846</v>
      </c>
      <c r="B5" s="486" t="s">
        <v>847</v>
      </c>
      <c r="C5" s="486" t="s">
        <v>848</v>
      </c>
      <c r="D5" s="486" t="s">
        <v>849</v>
      </c>
      <c r="F5" s="1001" t="s">
        <v>751</v>
      </c>
      <c r="G5" s="1005"/>
      <c r="H5" s="1013" t="s">
        <v>744</v>
      </c>
      <c r="I5" s="1014"/>
      <c r="K5" s="466"/>
      <c r="L5" s="871"/>
      <c r="M5" s="871"/>
    </row>
    <row r="6" spans="1:16" ht="15" customHeight="1" x14ac:dyDescent="0.25">
      <c r="A6" s="486" t="s">
        <v>850</v>
      </c>
      <c r="B6" s="486" t="s">
        <v>851</v>
      </c>
      <c r="C6" s="486" t="s">
        <v>852</v>
      </c>
      <c r="D6" s="486" t="s">
        <v>853</v>
      </c>
      <c r="F6" s="1006"/>
      <c r="G6" s="1005"/>
      <c r="H6" s="1017" t="s">
        <v>746</v>
      </c>
      <c r="I6" s="1018"/>
      <c r="K6" s="467"/>
      <c r="L6" s="872"/>
      <c r="M6" s="872"/>
      <c r="O6" s="463"/>
    </row>
    <row r="7" spans="1:16" x14ac:dyDescent="0.25">
      <c r="A7" s="486" t="s">
        <v>854</v>
      </c>
      <c r="B7" s="486" t="s">
        <v>855</v>
      </c>
      <c r="C7" s="486" t="s">
        <v>837</v>
      </c>
      <c r="D7" s="486" t="s">
        <v>856</v>
      </c>
      <c r="F7" s="1001" t="s">
        <v>752</v>
      </c>
      <c r="G7" s="1005"/>
      <c r="H7" s="1001"/>
      <c r="I7" s="1002"/>
      <c r="K7" s="467"/>
      <c r="L7" s="872"/>
      <c r="M7" s="872"/>
      <c r="O7" s="463"/>
    </row>
    <row r="8" spans="1:16" ht="15.75" thickBot="1" x14ac:dyDescent="0.3">
      <c r="A8" s="486" t="s">
        <v>857</v>
      </c>
      <c r="B8" s="486" t="s">
        <v>858</v>
      </c>
      <c r="C8" s="486" t="s">
        <v>859</v>
      </c>
      <c r="D8" s="486" t="s">
        <v>860</v>
      </c>
      <c r="F8" s="1006"/>
      <c r="G8" s="1005"/>
      <c r="H8" s="1019"/>
      <c r="I8" s="1020"/>
      <c r="L8" s="872"/>
      <c r="M8" s="872"/>
      <c r="O8" s="463"/>
    </row>
    <row r="9" spans="1:16" ht="15" customHeight="1" thickBot="1" x14ac:dyDescent="0.3">
      <c r="A9" s="486" t="s">
        <v>861</v>
      </c>
      <c r="B9" s="486" t="s">
        <v>862</v>
      </c>
      <c r="C9" s="486" t="s">
        <v>863</v>
      </c>
      <c r="D9" s="486" t="s">
        <v>864</v>
      </c>
      <c r="F9" s="1001" t="s">
        <v>753</v>
      </c>
      <c r="G9" s="1002"/>
      <c r="H9" s="1013" t="s">
        <v>745</v>
      </c>
      <c r="I9" s="1014"/>
      <c r="K9" s="467"/>
      <c r="L9" s="871"/>
      <c r="M9" s="871"/>
    </row>
    <row r="10" spans="1:16" ht="15.75" thickBot="1" x14ac:dyDescent="0.3">
      <c r="A10" s="486" t="s">
        <v>865</v>
      </c>
      <c r="B10" s="486" t="s">
        <v>866</v>
      </c>
      <c r="C10" s="486" t="s">
        <v>867</v>
      </c>
      <c r="D10" s="486" t="s">
        <v>868</v>
      </c>
      <c r="F10" s="1001"/>
      <c r="G10" s="1002"/>
      <c r="H10" s="1015" t="s">
        <v>747</v>
      </c>
      <c r="I10" s="1016"/>
      <c r="K10" s="467"/>
      <c r="L10" s="873"/>
      <c r="M10" s="873"/>
    </row>
    <row r="11" spans="1:16" x14ac:dyDescent="0.25">
      <c r="A11" s="486" t="s">
        <v>869</v>
      </c>
      <c r="B11" s="486" t="s">
        <v>870</v>
      </c>
      <c r="C11" s="486" t="s">
        <v>871</v>
      </c>
      <c r="D11" s="501"/>
      <c r="F11" s="1001" t="s">
        <v>754</v>
      </c>
      <c r="G11" s="1005"/>
      <c r="I11" s="465"/>
    </row>
    <row r="12" spans="1:16" ht="15" customHeight="1" x14ac:dyDescent="0.25">
      <c r="A12" s="486" t="s">
        <v>872</v>
      </c>
      <c r="B12" s="486" t="s">
        <v>873</v>
      </c>
      <c r="C12" s="486" t="s">
        <v>874</v>
      </c>
      <c r="D12" s="501"/>
      <c r="F12" s="1006"/>
      <c r="G12" s="1005"/>
      <c r="H12" s="467"/>
      <c r="I12" s="467"/>
      <c r="J12" s="467"/>
      <c r="K12" s="467"/>
    </row>
    <row r="13" spans="1:16" ht="15.75" thickBot="1" x14ac:dyDescent="0.3">
      <c r="A13" s="487"/>
      <c r="B13" s="487"/>
      <c r="C13" s="487"/>
      <c r="D13" s="487"/>
      <c r="F13" s="1011"/>
      <c r="G13" s="1012"/>
      <c r="H13" s="467"/>
      <c r="I13" s="467"/>
      <c r="K13" s="467"/>
    </row>
    <row r="14" spans="1:16" ht="15.75" customHeight="1" thickBot="1" x14ac:dyDescent="0.3">
      <c r="A14" s="1028" t="s">
        <v>773</v>
      </c>
      <c r="B14" s="1029"/>
      <c r="C14" s="1029"/>
      <c r="D14" s="1030"/>
    </row>
    <row r="15" spans="1:16" ht="15.75" customHeight="1" thickBot="1" x14ac:dyDescent="0.3">
      <c r="A15" s="1031" t="s">
        <v>890</v>
      </c>
      <c r="B15" s="1032"/>
      <c r="C15" s="486" t="s">
        <v>875</v>
      </c>
      <c r="D15" s="486" t="s">
        <v>876</v>
      </c>
      <c r="F15" s="1007" t="s">
        <v>749</v>
      </c>
      <c r="G15" s="1008"/>
      <c r="H15" s="504"/>
      <c r="I15" s="504"/>
      <c r="J15" s="465"/>
      <c r="K15" s="465"/>
    </row>
    <row r="16" spans="1:16" ht="48.75" customHeight="1" x14ac:dyDescent="0.25">
      <c r="A16" s="1033"/>
      <c r="B16" s="1034"/>
      <c r="C16" s="486" t="s">
        <v>877</v>
      </c>
      <c r="D16" s="486" t="s">
        <v>878</v>
      </c>
      <c r="F16" s="1009" t="s">
        <v>755</v>
      </c>
      <c r="G16" s="1010"/>
      <c r="H16" s="504"/>
      <c r="I16" s="504"/>
      <c r="J16" s="467"/>
    </row>
    <row r="17" spans="1:16" ht="15" customHeight="1" x14ac:dyDescent="0.25">
      <c r="A17" s="487"/>
      <c r="B17" s="487"/>
      <c r="C17" s="487"/>
      <c r="D17" s="487"/>
      <c r="F17" s="1006"/>
      <c r="G17" s="1005"/>
      <c r="H17" s="504"/>
      <c r="I17" s="504"/>
      <c r="J17" s="467"/>
      <c r="K17" s="467"/>
      <c r="L17" s="467"/>
      <c r="M17" s="467"/>
      <c r="P17" s="463"/>
    </row>
    <row r="18" spans="1:16" ht="15" customHeight="1" x14ac:dyDescent="0.25">
      <c r="A18" s="1028" t="s">
        <v>774</v>
      </c>
      <c r="B18" s="1029"/>
      <c r="C18" s="1029"/>
      <c r="D18" s="1030"/>
      <c r="F18" s="1006"/>
      <c r="G18" s="1005"/>
      <c r="H18" s="504"/>
      <c r="I18" s="504"/>
      <c r="J18" s="467"/>
      <c r="K18" s="467"/>
      <c r="L18" s="467"/>
      <c r="M18" s="467"/>
      <c r="P18" s="463"/>
    </row>
    <row r="19" spans="1:16" x14ac:dyDescent="0.25">
      <c r="A19" s="488" t="s">
        <v>63</v>
      </c>
      <c r="B19" s="489" t="s">
        <v>879</v>
      </c>
      <c r="C19" s="490" t="s">
        <v>880</v>
      </c>
      <c r="D19" s="502" t="s">
        <v>775</v>
      </c>
      <c r="F19" s="1006"/>
      <c r="G19" s="1005"/>
      <c r="H19" s="504"/>
      <c r="I19" s="504"/>
      <c r="J19" s="467"/>
      <c r="K19" s="467"/>
      <c r="L19" s="467"/>
      <c r="M19" s="467"/>
      <c r="P19" s="463"/>
    </row>
    <row r="20" spans="1:16" ht="75" x14ac:dyDescent="0.25">
      <c r="A20" s="486" t="s">
        <v>825</v>
      </c>
      <c r="B20" s="503" t="s">
        <v>826</v>
      </c>
      <c r="C20" s="486" t="s">
        <v>827</v>
      </c>
      <c r="D20" s="486" t="s">
        <v>828</v>
      </c>
      <c r="F20" s="1006"/>
      <c r="G20" s="1005"/>
      <c r="H20" s="504"/>
      <c r="I20" s="504"/>
      <c r="J20" s="467"/>
      <c r="K20" s="467"/>
      <c r="L20" s="467"/>
      <c r="M20" s="467"/>
      <c r="P20" s="463"/>
    </row>
    <row r="21" spans="1:16" ht="75" x14ac:dyDescent="0.25">
      <c r="A21" s="486" t="s">
        <v>881</v>
      </c>
      <c r="B21" s="486" t="s">
        <v>829</v>
      </c>
      <c r="C21" s="503" t="s">
        <v>687</v>
      </c>
      <c r="D21" s="486" t="s">
        <v>686</v>
      </c>
      <c r="F21" s="1001" t="s">
        <v>756</v>
      </c>
      <c r="G21" s="1005"/>
      <c r="H21" s="504"/>
      <c r="I21" s="504"/>
      <c r="J21" s="467"/>
      <c r="K21" s="467"/>
      <c r="L21" s="467"/>
      <c r="M21" s="467"/>
    </row>
    <row r="22" spans="1:16" x14ac:dyDescent="0.25">
      <c r="A22" s="486" t="s">
        <v>882</v>
      </c>
      <c r="B22" s="486" t="s">
        <v>883</v>
      </c>
      <c r="C22" s="486" t="s">
        <v>833</v>
      </c>
      <c r="D22" s="486" t="s">
        <v>686</v>
      </c>
      <c r="F22" s="1006"/>
      <c r="G22" s="1005"/>
      <c r="H22" s="504"/>
      <c r="I22" s="504"/>
      <c r="P22" s="463"/>
    </row>
    <row r="23" spans="1:16" ht="29.25" customHeight="1" x14ac:dyDescent="0.25">
      <c r="A23" s="486" t="s">
        <v>884</v>
      </c>
      <c r="B23" s="486" t="s">
        <v>830</v>
      </c>
      <c r="C23" s="486" t="s">
        <v>827</v>
      </c>
      <c r="D23" s="486" t="s">
        <v>680</v>
      </c>
      <c r="F23" s="1006"/>
      <c r="G23" s="1005"/>
      <c r="H23" s="504"/>
      <c r="I23" s="504"/>
      <c r="J23" s="467"/>
      <c r="K23" s="467"/>
      <c r="L23" s="467"/>
      <c r="M23" s="467"/>
      <c r="P23" s="463"/>
    </row>
    <row r="24" spans="1:16" ht="31.5" customHeight="1" x14ac:dyDescent="0.25">
      <c r="A24" s="486" t="s">
        <v>885</v>
      </c>
      <c r="B24" s="486" t="s">
        <v>831</v>
      </c>
      <c r="C24" s="486" t="s">
        <v>834</v>
      </c>
      <c r="D24" s="486" t="s">
        <v>835</v>
      </c>
      <c r="F24" s="1006"/>
      <c r="G24" s="1005"/>
      <c r="H24" s="504"/>
      <c r="I24" s="504"/>
      <c r="J24" s="467"/>
      <c r="K24" s="467"/>
      <c r="L24" s="467"/>
      <c r="M24" s="467"/>
      <c r="P24" s="463"/>
    </row>
    <row r="25" spans="1:16" ht="45" x14ac:dyDescent="0.25">
      <c r="A25" s="486" t="s">
        <v>886</v>
      </c>
      <c r="B25" s="503" t="s">
        <v>832</v>
      </c>
      <c r="C25" s="486" t="s">
        <v>827</v>
      </c>
      <c r="D25" s="486" t="s">
        <v>836</v>
      </c>
      <c r="F25" s="1006"/>
      <c r="G25" s="1005"/>
      <c r="H25" s="504"/>
      <c r="I25" s="504"/>
      <c r="J25" s="467"/>
      <c r="K25" s="467"/>
      <c r="L25" s="467"/>
      <c r="M25" s="467"/>
      <c r="P25" s="463"/>
    </row>
    <row r="26" spans="1:16" x14ac:dyDescent="0.25">
      <c r="A26" s="486" t="s">
        <v>887</v>
      </c>
      <c r="B26" s="486" t="s">
        <v>888</v>
      </c>
      <c r="C26" s="486" t="s">
        <v>889</v>
      </c>
      <c r="D26" s="486" t="s">
        <v>686</v>
      </c>
      <c r="F26" s="1001" t="s">
        <v>757</v>
      </c>
      <c r="G26" s="1002"/>
      <c r="H26" s="467"/>
      <c r="I26" s="467"/>
      <c r="J26" s="467"/>
      <c r="K26" s="467"/>
      <c r="L26" s="467"/>
      <c r="M26" s="467"/>
      <c r="P26" s="463"/>
    </row>
    <row r="27" spans="1:16" x14ac:dyDescent="0.25">
      <c r="A27"/>
      <c r="B27"/>
      <c r="C27"/>
      <c r="D27"/>
      <c r="F27" s="1001"/>
      <c r="G27" s="1002"/>
      <c r="H27" s="467"/>
      <c r="I27" s="467"/>
      <c r="J27" s="467"/>
      <c r="K27" s="467"/>
      <c r="L27" s="467"/>
      <c r="M27" s="467"/>
    </row>
    <row r="28" spans="1:16" ht="53.25" customHeight="1" x14ac:dyDescent="0.25">
      <c r="A28"/>
      <c r="B28"/>
      <c r="C28"/>
      <c r="D28"/>
      <c r="F28" s="1001"/>
      <c r="G28" s="1002"/>
    </row>
    <row r="29" spans="1:16" ht="97.5" customHeight="1" thickBot="1" x14ac:dyDescent="0.3">
      <c r="A29"/>
      <c r="B29"/>
      <c r="C29"/>
      <c r="D29"/>
      <c r="F29" s="1003" t="s">
        <v>758</v>
      </c>
      <c r="G29" s="1004"/>
    </row>
    <row r="30" spans="1:16" x14ac:dyDescent="0.25">
      <c r="A30"/>
      <c r="B30"/>
      <c r="C30"/>
      <c r="D30"/>
    </row>
    <row r="31" spans="1:16" x14ac:dyDescent="0.25">
      <c r="A31"/>
      <c r="B31"/>
      <c r="C31"/>
      <c r="D31"/>
    </row>
    <row r="32" spans="1:16" x14ac:dyDescent="0.25">
      <c r="A32"/>
      <c r="B32"/>
      <c r="C32"/>
      <c r="D32"/>
    </row>
    <row r="33" spans="1:4" x14ac:dyDescent="0.25">
      <c r="A33"/>
      <c r="B33"/>
      <c r="C33"/>
      <c r="D33"/>
    </row>
    <row r="34" spans="1:4" x14ac:dyDescent="0.25">
      <c r="A34"/>
      <c r="B34"/>
      <c r="C34"/>
      <c r="D34"/>
    </row>
    <row r="35" spans="1:4" x14ac:dyDescent="0.25">
      <c r="A35"/>
      <c r="B35"/>
      <c r="C35"/>
      <c r="D35"/>
    </row>
  </sheetData>
  <mergeCells count="27">
    <mergeCell ref="A1:D1"/>
    <mergeCell ref="A18:D18"/>
    <mergeCell ref="A15:B16"/>
    <mergeCell ref="A14:D14"/>
    <mergeCell ref="A2:D2"/>
    <mergeCell ref="F2:G4"/>
    <mergeCell ref="H2:I2"/>
    <mergeCell ref="L2:M2"/>
    <mergeCell ref="H3:I4"/>
    <mergeCell ref="L3:M4"/>
    <mergeCell ref="F7:G8"/>
    <mergeCell ref="F9:G10"/>
    <mergeCell ref="F5:G6"/>
    <mergeCell ref="H5:I5"/>
    <mergeCell ref="L5:M5"/>
    <mergeCell ref="H6:I8"/>
    <mergeCell ref="L6:M8"/>
    <mergeCell ref="F11:G13"/>
    <mergeCell ref="H9:I9"/>
    <mergeCell ref="L9:M9"/>
    <mergeCell ref="H10:I10"/>
    <mergeCell ref="L10:M10"/>
    <mergeCell ref="F26:G28"/>
    <mergeCell ref="F29:G29"/>
    <mergeCell ref="F21:G25"/>
    <mergeCell ref="F15:G15"/>
    <mergeCell ref="F16:G20"/>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Named Ranges</vt:lpstr>
      </vt:variant>
      <vt:variant>
        <vt:i4>3</vt:i4>
      </vt:variant>
    </vt:vector>
  </HeadingPairs>
  <TitlesOfParts>
    <vt:vector size="14" baseType="lpstr">
      <vt:lpstr>Errors</vt:lpstr>
      <vt:lpstr>NonQM</vt:lpstr>
      <vt:lpstr>DSCR</vt:lpstr>
      <vt:lpstr>CoreFlex</vt:lpstr>
      <vt:lpstr>Feed(WS)</vt:lpstr>
      <vt:lpstr>Prepay Matrix (OLD)</vt:lpstr>
      <vt:lpstr>Feed(DSCR)</vt:lpstr>
      <vt:lpstr>Feed(CoreFlex)</vt:lpstr>
      <vt:lpstr>NonQM (BC)</vt:lpstr>
      <vt:lpstr>DSCR (BC)</vt:lpstr>
      <vt:lpstr>Prepay Matrix</vt:lpstr>
      <vt:lpstr>CoreFlex!Print_Area</vt:lpstr>
      <vt:lpstr>DSCR!Print_Area</vt:lpstr>
      <vt:lpstr>NonQM!Print_Area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Adam Prather</dc:creator>
  <cp:keywords/>
  <dc:description/>
  <cp:lastModifiedBy>Kristin Grebe</cp:lastModifiedBy>
  <cp:revision/>
  <cp:lastPrinted>2026-08-13T13:55:19Z</cp:lastPrinted>
  <dcterms:created xsi:type="dcterms:W3CDTF">2025-07-31T15:53:00Z</dcterms:created>
  <dcterms:modified xsi:type="dcterms:W3CDTF">2026-08-17T13:36:36Z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PowerlinkCOMAddIn.COMAddIn.WebAddinBridge.Options">
    <vt:lpwstr>{"port":50152,"version":"1.26.718"}</vt:lpwstr>
  </property>
</Properties>
</file>