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BBE7F0E0-28AD-4611-A2A9-231F5FB79894}" xr6:coauthVersionLast="47" xr6:coauthVersionMax="47" xr10:uidLastSave="{00000000-0000-0000-0000-000000000000}"/>
  <workbookProtection workbookAlgorithmName="SHA-512" workbookHashValue="lBkoUWBVkJHhcc/1GMrE6bKZBPOwgEBns6vf6wS21YPJDgvOGqoC+QnTg3Z4u83SR0zvbxan7vlPBIVnUXkCiA==" workbookSaltValue="4blsgX2yWjyRh6yBGttWRg==" workbookSpinCount="100000" lockStructure="1"/>
  <bookViews>
    <workbookView xWindow="390" yWindow="390" windowWidth="26640" windowHeight="14595" xr2:uid="{BF5CB3E8-408D-4CDF-9AED-AE3F28DDF411}"/>
  </bookViews>
  <sheets>
    <sheet name="Closed End Seconds" sheetId="1" r:id="rId1"/>
    <sheet name="Feed(WS)" sheetId="2" state="hidden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0" hidden="1">'Closed End Seconds'!$S$6:$AC$39</definedName>
    <definedName name="_xlnm._FilterDatabase" localSheetId="1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13" i="1" l="1"/>
  <c r="V18" i="1" l="1"/>
  <c r="V14" i="1"/>
  <c r="B67" i="2" a="1"/>
  <c r="F41" i="2" a="1"/>
  <c r="B133" i="2"/>
  <c r="E133" i="2" a="1"/>
  <c r="E136" i="2" s="1"/>
  <c r="L46" i="2" a="1"/>
  <c r="L45" i="2" a="1"/>
  <c r="L44" i="2" a="1"/>
  <c r="L43" i="2" a="1"/>
  <c r="L42" i="2" a="1"/>
  <c r="L41" i="2" a="1"/>
  <c r="L40" i="2" a="1"/>
  <c r="L39" i="2" a="1"/>
  <c r="J45" i="2" a="1"/>
  <c r="J41" i="2" a="1"/>
  <c r="J40" i="2" a="1"/>
  <c r="J39" i="2" a="1"/>
  <c r="H73" i="2"/>
  <c r="H72" i="2"/>
  <c r="H71" i="2"/>
  <c r="H70" i="2"/>
  <c r="H69" i="2"/>
  <c r="H68" i="2"/>
  <c r="H67" i="2"/>
  <c r="H66" i="2"/>
  <c r="H65" i="2"/>
  <c r="H64" i="2"/>
  <c r="H63" i="2"/>
  <c r="H62" i="2" a="1"/>
  <c r="H61" i="2" a="1"/>
  <c r="H60" i="2" a="1"/>
  <c r="H59" i="2" a="1"/>
  <c r="H58" i="2" a="1"/>
  <c r="H56" i="2" a="1"/>
  <c r="H57" i="2" a="1"/>
  <c r="H55" i="2" a="1"/>
  <c r="H54" i="2" a="1"/>
  <c r="H53" i="2" a="1"/>
  <c r="H52" i="2" a="1"/>
  <c r="H50" i="2" a="1"/>
  <c r="H49" i="2" a="1"/>
  <c r="H48" i="2" a="1"/>
  <c r="H47" i="2" a="1"/>
  <c r="H46" i="2" a="1"/>
  <c r="H43" i="2"/>
  <c r="H42" i="2" a="1"/>
  <c r="H41" i="2"/>
  <c r="H40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 a="1"/>
  <c r="F56" i="2" a="1"/>
  <c r="F55" i="2" a="1"/>
  <c r="F54" i="2" a="1"/>
  <c r="F53" i="2" a="1"/>
  <c r="F52" i="2" a="1"/>
  <c r="F51" i="2"/>
  <c r="F50" i="2" a="1"/>
  <c r="F49" i="2" a="1"/>
  <c r="F47" i="2"/>
  <c r="F44" i="2" a="1"/>
  <c r="F43" i="2"/>
  <c r="F42" i="2"/>
  <c r="F40" i="2"/>
  <c r="F39" i="2"/>
  <c r="V19" i="1" l="1"/>
  <c r="V11" i="1"/>
  <c r="V25" i="1"/>
  <c r="E125" i="2"/>
  <c r="E124" i="2"/>
  <c r="E123" i="2"/>
  <c r="E122" i="2"/>
  <c r="E91" i="2"/>
  <c r="E90" i="2"/>
  <c r="E89" i="2"/>
  <c r="E88" i="2"/>
  <c r="E87" i="2"/>
  <c r="E86" i="2"/>
  <c r="E85" i="2"/>
  <c r="E84" i="2"/>
  <c r="E83" i="2"/>
  <c r="E82" i="2"/>
  <c r="D125" i="2"/>
  <c r="D124" i="2"/>
  <c r="D123" i="2"/>
  <c r="D122" i="2"/>
  <c r="C125" i="2"/>
  <c r="C124" i="2"/>
  <c r="C123" i="2"/>
  <c r="C122" i="2"/>
  <c r="B125" i="2"/>
  <c r="B124" i="2"/>
  <c r="B123" i="2"/>
  <c r="B122" i="2"/>
  <c r="V17" i="1"/>
  <c r="V16" i="1"/>
  <c r="V15" i="1" a="1"/>
  <c r="V24" i="1" l="1"/>
  <c r="B146" i="2"/>
  <c r="B145" i="2"/>
  <c r="B142" i="2"/>
  <c r="B141" i="2"/>
  <c r="B13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U25" i="1"/>
  <c r="V12" i="1" l="1"/>
  <c r="V20" i="1"/>
  <c r="B82" i="2"/>
  <c r="V27" i="1"/>
  <c r="V34" i="1" l="1"/>
  <c r="U35" i="1" s="1"/>
  <c r="V33" i="1"/>
  <c r="S25" i="1" l="1"/>
  <c r="B39" i="2" l="1" a="1"/>
  <c r="J43" i="2" a="1"/>
  <c r="B41" i="2" l="1"/>
  <c r="B46" i="2" l="1"/>
  <c r="B45" i="2"/>
  <c r="B44" i="2"/>
  <c r="J53" i="2"/>
  <c r="J50" i="2" a="1"/>
  <c r="J52" i="2"/>
  <c r="J51" i="2"/>
  <c r="J42" i="2" a="1"/>
  <c r="G89" i="2"/>
  <c r="I127" i="2" l="1"/>
  <c r="E146" i="2"/>
  <c r="E147" i="2" s="1"/>
  <c r="E142" i="2" l="1"/>
  <c r="E143" i="2" s="1"/>
  <c r="B48" i="2" s="1"/>
  <c r="I115" i="2"/>
  <c r="I114" i="2"/>
  <c r="I113" i="2"/>
  <c r="B47" i="2"/>
  <c r="B43" i="2" l="1"/>
  <c r="B42" i="2" a="1"/>
  <c r="B63" i="2" l="1" a="1"/>
  <c r="B64" i="2" s="1"/>
  <c r="X13" i="1" s="1"/>
  <c r="V26" i="1" l="1"/>
  <c r="I124" i="2"/>
  <c r="I125" i="2"/>
  <c r="I126" i="2"/>
  <c r="I122" i="2" l="1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V29" i="1" l="1"/>
  <c r="G82" i="2" l="1"/>
  <c r="K115" i="2" s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32" i="2" s="1"/>
  <c r="K133" i="2" s="1"/>
  <c r="J129" i="2" a="1"/>
  <c r="J130" i="2" s="1"/>
  <c r="J131" i="2" s="1"/>
  <c r="L129" i="2" a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W32" i="1" s="1" a="1"/>
  <c r="V28" i="1" l="1"/>
  <c r="V30" i="1" s="1"/>
  <c r="U36" i="1" s="1"/>
  <c r="G85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<sst xmlns="http://schemas.openxmlformats.org/spreadsheetml/2006/main" count="517" uniqueCount="311">
  <si>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</si>
  <si>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</si>
  <si>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</si>
  <si>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</si>
  <si>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</si>
  <si>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</si>
  <si>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</si>
  <si>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</si>
  <si>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</si>
  <si>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</si>
  <si>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</si>
  <si>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</si>
  <si>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</si>
  <si>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</si>
  <si>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</si>
  <si>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</si>
  <si>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</si>
  <si>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</si>
  <si>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</si>
  <si>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</si>
  <si>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</si>
  <si>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</si>
  <si>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</si>
  <si>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</si>
  <si>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</si>
  <si>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</si>
  <si>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</si>
  <si>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</si>
  <si>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</si>
  <si>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</si>
  <si>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</si>
  <si>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</si>
  <si>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</si>
  <si>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</si>
  <si>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</si>
  <si>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</si>
  <si>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</si>
  <si>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</si>
  <si>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</si>
  <si>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</si>
  <si>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</si>
  <si>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</si>
  <si>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</si>
  <si>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</si>
  <si>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</si>
  <si>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</si>
  <si>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</si>
  <si>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</si>
  <si>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</si>
  <si>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</si>
  <si>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</si>
  <si>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</si>
  <si>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</si>
  <si>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</si>
  <si>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</si>
  <si>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</si>
  <si>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</si>
  <si>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</si>
  <si>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</si>
  <si>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</si>
  <si>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</si>
  <si>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</si>
  <si>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</si>
  <si>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</si>
  <si>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</si>
  <si>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</si>
  <si>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</si>
  <si>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</si>
  <si>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</si>
  <si>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</si>
  <si>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</si>
  <si>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</si>
  <si>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</si>
  <si>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</si>
  <si>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</si>
  <si>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</si>
  <si>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</si>
  <si>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</si>
  <si>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</si>
  <si>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</si>
  <si>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</si>
  <si>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</si>
  <si>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</si>
  <si>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</si>
  <si>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</si>
  <si>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</si>
  <si>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</si>
  <si>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</si>
  <si>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</si>
  <si>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</si>
  <si>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</si>
  <si>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</si>
  <si>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</si>
  <si>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</si>
  <si>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</si>
  <si>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</si>
  <si>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</si>
  <si>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</si>
  <si>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</si>
  <si>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</si>
  <si>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</si>
  <si>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</si>
  <si>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</si>
  <si>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</si>
  <si>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</si>
  <si>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</si>
  <si>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</si>
  <si>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</si>
  <si>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</si>
  <si>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</si>
  <si>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</si>
  <si>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</si>
  <si>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</si>
  <si>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</si>
  <si>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</si>
  <si>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</si>
  <si>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</si>
  <si>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</si>
  <si>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</si>
  <si>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</si>
  <si>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</si>
  <si>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</si>
  <si>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</si>
  <si>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</si>
  <si>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</si>
  <si>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</si>
  <si>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</si>
  <si>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</si>
  <si>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</si>
  <si>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</si>
  <si>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</si>
  <si>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</si>
  <si>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</si>
  <si>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</si>
  <si>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</si>
  <si>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</si>
  <si>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</si>
  <si>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</si>
  <si>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</si>
  <si>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</si>
  <si>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</si>
  <si>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</si>
  <si>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</si>
  <si>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</si>
  <si>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</si>
  <si>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</si>
  <si>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</si>
  <si>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</si>
  <si>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</si>
  <si>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</si>
  <si>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</si>
  <si>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</si>
  <si>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</si>
  <si>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</si>
  <si>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</si>
  <si>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</si>
  <si>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</si>
  <si>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</si>
  <si>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</si>
  <si>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</si>
  <si>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</si>
  <si>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</si>
  <si>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</si>
  <si>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</si>
  <si>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</si>
  <si>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</si>
  <si>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</si>
  <si>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</si>
  <si>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</si>
  <si>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</si>
  <si>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</si>
  <si>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</si>
  <si>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</si>
  <si>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</si>
  <si>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</si>
  <si>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</si>
  <si>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</si>
  <si>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</si>
  <si>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</si>
  <si>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</si>
  <si>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</si>
  <si>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</si>
  <si>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</si>
  <si>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</si>
  <si>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</si>
  <si>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</si>
  <si>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</si>
  <si>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</si>
  <si>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</si>
  <si>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</si>
  <si>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</si>
  <si>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</si>
  <si>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</si>
  <si>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</si>
  <si>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</si>
  <si>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</si>
  <si>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</si>
  <si>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</si>
  <si>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</si>
  <si>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</si>
  <si>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</si>
  <si>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</si>
  <si>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</si>
  <si>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</si>
  <si>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</si>
  <si>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</si>
  <si>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</si>
  <si>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</si>
  <si>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</si>
  <si>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</si>
  <si>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</si>
  <si>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</si>
  <si>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</si>
  <si>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</si>
  <si>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</si>
  <si>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</si>
  <si>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</si>
  <si>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</si>
  <si>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</si>
  <si>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</si>
  <si>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</si>
  <si>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</si>
  <si>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</si>
  <si>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</si>
  <si>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</si>
  <si>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</si>
  <si>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</si>
  <si>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</si>
  <si>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</si>
  <si>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</si>
  <si>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</si>
  <si>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</si>
  <si>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</si>
  <si>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</si>
  <si>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</si>
  <si>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</si>
  <si>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</si>
  <si>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</si>
  <si>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</si>
  <si>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</si>
  <si>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</si>
  <si>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</si>
  <si>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</si>
  <si>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</si>
  <si>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</si>
  <si>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</si>
  <si>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</si>
  <si>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</si>
  <si>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</si>
  <si>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</si>
  <si>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</si>
  <si>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</si>
  <si>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</si>
  <si>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</si>
  <si>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</si>
  <si>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</si>
  <si>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</si>
  <si>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</si>
  <si>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</si>
  <si>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</si>
  <si>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</si>
  <si>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</si>
  <si>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</si>
  <si>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</si>
  <si>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</si>
  <si>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</si>
  <si>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</si>
  <si>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</si>
  <si>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</si>
  <si>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</si>
  <si>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</si>
  <si>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</si>
  <si>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</si>
  <si>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</si>
  <si>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</si>
  <si>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</si>
  <si>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</si>
  <si>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FICO/LTV Loan Level Pricing Adjustments</t>
  </si>
  <si>
    <t>Loan Level Pricing Adjustments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</si>
  <si>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</si>
  <si>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</si>
  <si>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</si>
  <si>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</si>
  <si>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</si>
  <si>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</si>
  <si>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</si>
  <si>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</si>
  <si>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</si>
  <si>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Lock Days</t>
  </si>
  <si>
    <t>19000 MacArthur Blvd, Suite 200</t>
  </si>
  <si>
    <t>LLPA</t>
  </si>
  <si>
    <t>Foreign National with Fico</t>
  </si>
  <si>
    <t/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</si>
  <si>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</si>
  <si>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</si>
  <si>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</si>
  <si>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</si>
  <si>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</si>
  <si>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</si>
  <si>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</si>
  <si>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</si>
  <si>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</si>
  <si>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*YSP allowed up to 102.000, may be paid to borrower on all Loans, or to Broker on Business Purpose Loans only
*YSP &amp; Lender Credit are not Applicable to DSCR 5-8 Unit</t>
  </si>
  <si>
    <t>Investment Property (DSCR)</t>
  </si>
  <si>
    <t>June Special</t>
  </si>
  <si>
    <t>LoanStream Mortgage</t>
  </si>
  <si>
    <t>Effective Date: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</si>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</sst>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5" formatCode="&quot;$&quot;#,##0_);\(&quot;$&quot;#,##0\)"/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  <numFmt numFmtId="173" formatCode="0.000%"/>
  </numFmts>
  <fonts count="7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indexed="9"/>
      <name val="Aptos Narrow"/>
      <family val="2"/>
    </font>
    <font>
      <b/>
      <sz val="11"/>
      <color theme="1"/>
      <name val="Aptos Narrow"/>
      <family val="2"/>
    </font>
    <font>
      <b/>
      <sz val="18"/>
      <color theme="0"/>
      <name val="Aptos Narrow"/>
      <family val="2"/>
    </font>
    <font>
      <sz val="11"/>
      <name val="Aptos Narrow"/>
      <family val="2"/>
    </font>
    <font>
      <b/>
      <sz val="20"/>
      <color theme="0"/>
      <name val="Aptos Narrow"/>
      <family val="2"/>
    </font>
    <font>
      <sz val="11"/>
      <color theme="0"/>
      <name val="Aptos Narrow"/>
      <family val="2"/>
    </font>
    <font>
      <sz val="10"/>
      <color theme="1"/>
      <name val="Aptos Narrow"/>
      <family val="2"/>
    </font>
    <font>
      <b/>
      <sz val="10"/>
      <color theme="0"/>
      <name val="Calibri"/>
      <family val="2"/>
      <scheme val="minor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sz val="10"/>
      <color rgb="FF003366"/>
      <name val="Aptos Narrow"/>
      <family val="2"/>
    </font>
    <font>
      <b/>
      <i/>
      <sz val="18"/>
      <name val="Aptos Narrow"/>
      <family val="2"/>
    </font>
    <font>
      <i/>
      <sz val="12"/>
      <name val="Aptos Narrow"/>
      <family val="2"/>
    </font>
    <font>
      <i/>
      <sz val="10"/>
      <name val="Aptos Narrow"/>
      <family val="2"/>
    </font>
    <font>
      <b/>
      <i/>
      <sz val="12"/>
      <name val="Aptos Narrow"/>
      <family val="2"/>
    </font>
    <font>
      <sz val="10"/>
      <color rgb="FFFF0000"/>
      <name val="Aptos Narrow"/>
      <family val="2"/>
    </font>
    <font>
      <sz val="10"/>
      <color theme="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sz val="9"/>
      <color theme="1"/>
      <name val="Aptos Narrow"/>
      <family val="2"/>
    </font>
    <font>
      <b/>
      <sz val="11"/>
      <color theme="4" tint="-0.499984740745262"/>
      <name val="Aptos Narrow"/>
      <family val="2"/>
    </font>
    <font>
      <b/>
      <sz val="14"/>
      <color theme="1"/>
      <name val="Aptos Narrow"/>
      <family val="2"/>
    </font>
    <font>
      <b/>
      <sz val="10"/>
      <name val="Aptos Narrow"/>
      <family val="2"/>
    </font>
    <font>
      <b/>
      <i/>
      <u/>
      <sz val="14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darkTrellis">
        <bgColor theme="4" tint="-0.499984740745262"/>
      </patternFill>
    </fill>
    <fill>
      <patternFill patternType="gray0625">
        <bgColor rgb="FF0B3040"/>
      </patternFill>
    </fill>
    <fill>
      <patternFill patternType="mediumGray">
        <bgColor rgb="FF0C769E"/>
      </patternFill>
    </fill>
    <fill>
      <patternFill patternType="gray0625">
        <bgColor rgb="FF275317"/>
      </patternFill>
    </fill>
    <fill>
      <patternFill patternType="mediumGray">
        <bgColor rgb="FF275317"/>
      </patternFill>
    </fill>
    <fill>
      <gradientFill type="path" left="0.5" right="0.5" top="0.5" bottom="0.5">
        <stop position="0">
          <color theme="6" tint="-0.49803155613879818"/>
        </stop>
        <stop position="1">
          <color theme="4" tint="-0.49803155613879818"/>
        </stop>
      </gradientFill>
    </fill>
    <fill>
      <patternFill patternType="mediumGray">
        <bgColor theme="9" tint="-0.499984740745262"/>
      </patternFill>
    </fill>
    <fill>
      <patternFill patternType="gray0625">
        <bgColor theme="9" tint="-0.499984740745262"/>
      </patternFill>
    </fill>
    <fill>
      <gradientFill degree="90">
        <stop position="0">
          <color theme="6" tint="-0.49803155613879818"/>
        </stop>
        <stop position="1">
          <color theme="4" tint="-0.49803155613879818"/>
        </stop>
      </gradientFill>
    </fill>
    <fill>
      <patternFill patternType="solid">
        <fgColor theme="1"/>
        <bgColor auto="1"/>
      </patternFill>
    </fill>
    <fill>
      <patternFill patternType="solid">
        <fgColor rgb="FF0B3040"/>
        <bgColor indexed="64"/>
      </patternFill>
    </fill>
    <fill>
      <patternFill patternType="solid">
        <fgColor theme="9" tint="-0.249977111117893"/>
        <bgColor indexed="64"/>
      </patternFill>
    </fill>
  </fills>
  <borders count="9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07">
    <xf numFmtId="0" fontId="0" fillId="0" borderId="0" xfId="0"/>
    <xf numFmtId="164" fontId="5" fillId="0" borderId="1" xfId="1" applyNumberFormat="1" applyFont="1" applyBorder="1" applyAlignment="1" applyProtection="1">
      <alignment horizontal="center" vertical="top"/>
      <protection hidden="1"/>
    </xf>
    <xf numFmtId="164" fontId="9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3" fillId="0" borderId="0" xfId="2" applyFont="1"/>
    <xf numFmtId="0" fontId="21" fillId="10" borderId="0" xfId="2" applyFont="1" applyFill="1" applyAlignment="1">
      <alignment horizontal="center" vertical="center"/>
    </xf>
    <xf numFmtId="0" fontId="13" fillId="0" borderId="0" xfId="2" applyFont="1" applyAlignment="1">
      <alignment horizontal="center"/>
    </xf>
    <xf numFmtId="0" fontId="18" fillId="0" borderId="0" xfId="2" applyFont="1" applyAlignment="1">
      <alignment horizontal="center" vertical="center"/>
    </xf>
    <xf numFmtId="0" fontId="3" fillId="0" borderId="15" xfId="2" applyBorder="1"/>
    <xf numFmtId="0" fontId="8" fillId="0" borderId="28" xfId="2" applyFont="1" applyBorder="1"/>
    <xf numFmtId="0" fontId="8" fillId="0" borderId="26" xfId="2" applyFont="1" applyBorder="1"/>
    <xf numFmtId="0" fontId="8" fillId="0" borderId="19" xfId="2" applyFont="1" applyBorder="1"/>
    <xf numFmtId="0" fontId="16" fillId="0" borderId="36" xfId="5" applyBorder="1" applyAlignment="1">
      <alignment horizontal="left" vertical="center"/>
    </xf>
    <xf numFmtId="0" fontId="8" fillId="0" borderId="20" xfId="2" applyFont="1" applyBorder="1" applyAlignment="1">
      <alignment horizontal="left" vertical="center"/>
    </xf>
    <xf numFmtId="0" fontId="8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4" fillId="0" borderId="0" xfId="2" applyFont="1" applyAlignment="1">
      <alignment horizontal="center"/>
    </xf>
    <xf numFmtId="0" fontId="23" fillId="0" borderId="0" xfId="2" applyFont="1" applyAlignment="1">
      <alignment horizontal="center"/>
    </xf>
    <xf numFmtId="0" fontId="22" fillId="0" borderId="0" xfId="2" applyFont="1" applyAlignment="1">
      <alignment horizontal="center"/>
    </xf>
    <xf numFmtId="0" fontId="13" fillId="0" borderId="17" xfId="2" applyFont="1" applyBorder="1"/>
    <xf numFmtId="0" fontId="21" fillId="0" borderId="0" xfId="2" applyFont="1" applyAlignment="1">
      <alignment horizontal="center" vertical="center"/>
    </xf>
    <xf numFmtId="164" fontId="10" fillId="0" borderId="0" xfId="2" applyNumberFormat="1" applyFont="1" applyAlignment="1">
      <alignment horizontal="center"/>
    </xf>
    <xf numFmtId="0" fontId="3" fillId="11" borderId="0" xfId="2" applyFill="1" applyAlignment="1">
      <alignment horizontal="center" wrapText="1"/>
    </xf>
    <xf numFmtId="165" fontId="10" fillId="11" borderId="0" xfId="2" applyNumberFormat="1" applyFont="1" applyFill="1" applyAlignment="1">
      <alignment horizontal="center"/>
    </xf>
    <xf numFmtId="0" fontId="8" fillId="0" borderId="0" xfId="2" applyFont="1"/>
    <xf numFmtId="0" fontId="8" fillId="0" borderId="0" xfId="2" applyFont="1" applyAlignment="1">
      <alignment horizontal="left" vertical="center"/>
    </xf>
    <xf numFmtId="0" fontId="8" fillId="0" borderId="9" xfId="2" applyFont="1" applyBorder="1"/>
    <xf numFmtId="0" fontId="8" fillId="0" borderId="16" xfId="2" applyFont="1" applyBorder="1"/>
    <xf numFmtId="0" fontId="8" fillId="0" borderId="15" xfId="2" applyFont="1" applyBorder="1"/>
    <xf numFmtId="0" fontId="8" fillId="0" borderId="41" xfId="2" applyFont="1" applyBorder="1"/>
    <xf numFmtId="0" fontId="8" fillId="0" borderId="42" xfId="2" applyFont="1" applyBorder="1"/>
    <xf numFmtId="0" fontId="16" fillId="0" borderId="42" xfId="5" applyBorder="1" applyAlignment="1">
      <alignment horizontal="left" vertical="center"/>
    </xf>
    <xf numFmtId="0" fontId="8" fillId="0" borderId="43" xfId="2" applyFont="1" applyBorder="1"/>
    <xf numFmtId="0" fontId="8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8" fillId="0" borderId="13" xfId="2" applyFont="1" applyBorder="1" applyAlignment="1">
      <alignment horizontal="left" vertical="center"/>
    </xf>
    <xf numFmtId="0" fontId="8" fillId="0" borderId="44" xfId="2" applyFont="1" applyBorder="1" applyAlignment="1">
      <alignment horizontal="left" vertical="center"/>
    </xf>
    <xf numFmtId="0" fontId="12" fillId="0" borderId="2" xfId="2" applyFont="1" applyBorder="1"/>
    <xf numFmtId="165" fontId="10" fillId="11" borderId="12" xfId="2" applyNumberFormat="1" applyFont="1" applyFill="1" applyBorder="1" applyAlignment="1">
      <alignment horizontal="center" vertical="center"/>
    </xf>
    <xf numFmtId="0" fontId="11" fillId="12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8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5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9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6" fillId="4" borderId="5" xfId="0" applyFont="1" applyFill="1" applyBorder="1" applyAlignment="1" applyProtection="1">
      <alignment horizontal="center" vertical="center"/>
      <protection hidden="1"/>
    </xf>
    <xf numFmtId="0" fontId="6" fillId="4" borderId="51" xfId="0" applyFont="1" applyFill="1" applyBorder="1" applyAlignment="1" applyProtection="1">
      <alignment horizontal="center" vertical="center"/>
      <protection hidden="1"/>
    </xf>
    <xf numFmtId="0" fontId="30" fillId="0" borderId="0" xfId="0" applyFont="1" applyProtection="1">
      <protection hidden="1"/>
    </xf>
    <xf numFmtId="0" fontId="10" fillId="0" borderId="0" xfId="4" applyFont="1" applyProtection="1">
      <protection hidden="1"/>
    </xf>
    <xf numFmtId="0" fontId="32" fillId="0" borderId="0" xfId="0" applyFont="1" applyAlignment="1" applyProtection="1">
      <alignment vertical="center"/>
      <protection hidden="1"/>
    </xf>
    <xf numFmtId="0" fontId="28" fillId="0" borderId="0" xfId="0" applyFont="1" applyProtection="1">
      <protection hidden="1"/>
    </xf>
    <xf numFmtId="0" fontId="26" fillId="0" borderId="0" xfId="0" applyFont="1" applyProtection="1">
      <protection hidden="1"/>
    </xf>
    <xf numFmtId="0" fontId="6" fillId="4" borderId="62" xfId="0" applyFont="1" applyFill="1" applyBorder="1" applyAlignment="1" applyProtection="1">
      <alignment horizontal="center" vertical="center"/>
      <protection hidden="1"/>
    </xf>
    <xf numFmtId="164" fontId="9" fillId="0" borderId="56" xfId="1" applyNumberFormat="1" applyFont="1" applyBorder="1" applyAlignment="1" applyProtection="1">
      <alignment horizontal="center" vertical="top"/>
      <protection hidden="1"/>
    </xf>
    <xf numFmtId="165" fontId="5" fillId="0" borderId="59" xfId="1" applyNumberFormat="1" applyFont="1" applyBorder="1" applyAlignment="1" applyProtection="1">
      <alignment horizontal="center" vertical="top"/>
      <protection hidden="1"/>
    </xf>
    <xf numFmtId="165" fontId="5" fillId="0" borderId="55" xfId="1" applyNumberFormat="1" applyFont="1" applyBorder="1" applyAlignment="1" applyProtection="1">
      <alignment horizontal="center" vertical="top"/>
      <protection hidden="1"/>
    </xf>
    <xf numFmtId="0" fontId="8" fillId="0" borderId="67" xfId="2" applyFont="1" applyBorder="1"/>
    <xf numFmtId="0" fontId="3" fillId="0" borderId="54" xfId="2" applyBorder="1"/>
    <xf numFmtId="0" fontId="8" fillId="0" borderId="68" xfId="2" applyFont="1" applyBorder="1"/>
    <xf numFmtId="0" fontId="8" fillId="0" borderId="54" xfId="2" applyFont="1" applyBorder="1" applyAlignment="1">
      <alignment horizontal="left" vertical="center"/>
    </xf>
    <xf numFmtId="0" fontId="8" fillId="0" borderId="68" xfId="2" applyFont="1" applyBorder="1" applyAlignment="1">
      <alignment horizontal="left" vertical="center"/>
    </xf>
    <xf numFmtId="165" fontId="10" fillId="11" borderId="55" xfId="2" applyNumberFormat="1" applyFont="1" applyFill="1" applyBorder="1" applyAlignment="1">
      <alignment horizontal="center" vertical="center"/>
    </xf>
    <xf numFmtId="0" fontId="8" fillId="0" borderId="67" xfId="2" applyFont="1" applyBorder="1" applyAlignment="1">
      <alignment horizontal="left" vertical="center"/>
    </xf>
    <xf numFmtId="165" fontId="10" fillId="11" borderId="65" xfId="2" applyNumberFormat="1" applyFont="1" applyFill="1" applyBorder="1" applyAlignment="1">
      <alignment horizontal="center" vertical="center"/>
    </xf>
    <xf numFmtId="0" fontId="3" fillId="0" borderId="68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9" fillId="0" borderId="56" xfId="1" applyNumberFormat="1" applyFont="1" applyFill="1" applyBorder="1" applyAlignment="1" applyProtection="1">
      <alignment horizontal="center" vertical="top"/>
      <protection hidden="1"/>
    </xf>
    <xf numFmtId="165" fontId="5" fillId="0" borderId="59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28" fillId="0" borderId="0" xfId="0" applyFont="1" applyAlignment="1" applyProtection="1">
      <alignment horizontal="center"/>
      <protection hidden="1"/>
    </xf>
    <xf numFmtId="165" fontId="32" fillId="0" borderId="9" xfId="0" applyNumberFormat="1" applyFont="1" applyBorder="1" applyAlignment="1" applyProtection="1">
      <alignment horizontal="center" vertical="top"/>
      <protection hidden="1"/>
    </xf>
    <xf numFmtId="165" fontId="28" fillId="0" borderId="16" xfId="0" applyNumberFormat="1" applyFont="1" applyBorder="1" applyAlignment="1" applyProtection="1">
      <alignment horizontal="center"/>
      <protection hidden="1"/>
    </xf>
    <xf numFmtId="0" fontId="32" fillId="0" borderId="10" xfId="0" applyFont="1" applyBorder="1" applyAlignment="1" applyProtection="1">
      <alignment horizontal="center" vertical="top"/>
      <protection hidden="1"/>
    </xf>
    <xf numFmtId="165" fontId="28" fillId="0" borderId="18" xfId="0" applyNumberFormat="1" applyFont="1" applyBorder="1" applyAlignment="1" applyProtection="1">
      <alignment horizontal="center"/>
      <protection hidden="1"/>
    </xf>
    <xf numFmtId="0" fontId="6" fillId="4" borderId="48" xfId="0" applyFont="1" applyFill="1" applyBorder="1" applyAlignment="1" applyProtection="1">
      <alignment horizontal="center" vertical="center"/>
      <protection hidden="1"/>
    </xf>
    <xf numFmtId="164" fontId="9" fillId="0" borderId="76" xfId="1" applyNumberFormat="1" applyFont="1" applyBorder="1" applyAlignment="1" applyProtection="1">
      <alignment horizontal="center" vertical="top"/>
      <protection hidden="1"/>
    </xf>
    <xf numFmtId="164" fontId="5" fillId="0" borderId="77" xfId="1" applyNumberFormat="1" applyFont="1" applyBorder="1" applyAlignment="1" applyProtection="1">
      <alignment horizontal="center" vertical="top"/>
      <protection hidden="1"/>
    </xf>
    <xf numFmtId="165" fontId="5" fillId="0" borderId="11" xfId="1" applyNumberFormat="1" applyFont="1" applyBorder="1" applyAlignment="1" applyProtection="1">
      <alignment horizontal="center" vertical="top"/>
      <protection hidden="1"/>
    </xf>
    <xf numFmtId="165" fontId="5" fillId="0" borderId="12" xfId="1" applyNumberFormat="1" applyFont="1" applyBorder="1" applyAlignment="1" applyProtection="1">
      <alignment horizontal="center" vertical="top"/>
      <protection hidden="1"/>
    </xf>
    <xf numFmtId="165" fontId="5" fillId="0" borderId="55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3" xfId="0" applyNumberFormat="1" applyFont="1" applyBorder="1"/>
    <xf numFmtId="165" fontId="33" fillId="9" borderId="6" xfId="0" applyNumberFormat="1" applyFont="1" applyFill="1" applyBorder="1" applyAlignment="1" applyProtection="1">
      <alignment horizontal="center"/>
      <protection hidden="1"/>
    </xf>
    <xf numFmtId="0" fontId="26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5" fillId="0" borderId="79" xfId="1" applyNumberFormat="1" applyFont="1" applyBorder="1" applyAlignment="1" applyProtection="1">
      <alignment horizontal="center" vertical="top"/>
      <protection hidden="1"/>
    </xf>
    <xf numFmtId="164" fontId="5" fillId="0" borderId="80" xfId="1" applyNumberFormat="1" applyFont="1" applyBorder="1" applyAlignment="1" applyProtection="1">
      <alignment horizontal="center" vertical="top"/>
      <protection hidden="1"/>
    </xf>
    <xf numFmtId="0" fontId="5" fillId="0" borderId="5" xfId="1" applyNumberFormat="1" applyFont="1" applyBorder="1" applyAlignment="1" applyProtection="1">
      <alignment horizontal="center" vertical="center"/>
      <protection hidden="1"/>
    </xf>
    <xf numFmtId="0" fontId="5" fillId="0" borderId="9" xfId="1" applyNumberFormat="1" applyFont="1" applyBorder="1" applyAlignment="1" applyProtection="1">
      <alignment horizontal="center" vertical="center"/>
      <protection hidden="1"/>
    </xf>
    <xf numFmtId="0" fontId="5" fillId="0" borderId="16" xfId="1" applyNumberFormat="1" applyFont="1" applyBorder="1" applyAlignment="1" applyProtection="1">
      <alignment horizontal="center" vertical="center"/>
      <protection hidden="1"/>
    </xf>
    <xf numFmtId="0" fontId="37" fillId="0" borderId="0" xfId="0" applyFont="1" applyAlignment="1">
      <alignment vertical="center" wrapText="1"/>
    </xf>
    <xf numFmtId="165" fontId="5" fillId="0" borderId="0" xfId="1" applyNumberFormat="1" applyFont="1" applyBorder="1" applyAlignment="1" applyProtection="1">
      <alignment horizontal="center" vertical="center"/>
      <protection hidden="1"/>
    </xf>
    <xf numFmtId="165" fontId="5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5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right" vertical="center"/>
      <protection hidden="1"/>
    </xf>
    <xf numFmtId="0" fontId="26" fillId="0" borderId="0" xfId="0" applyFont="1" applyAlignment="1" applyProtection="1">
      <alignment horizontal="right" vertical="top"/>
      <protection hidden="1"/>
    </xf>
    <xf numFmtId="0" fontId="34" fillId="0" borderId="0" xfId="0" applyFont="1" applyAlignment="1" applyProtection="1">
      <alignment horizontal="right" vertical="top"/>
      <protection hidden="1"/>
    </xf>
    <xf numFmtId="167" fontId="29" fillId="0" borderId="0" xfId="0" applyNumberFormat="1" applyFont="1" applyAlignment="1" applyProtection="1">
      <alignment horizontal="center" vertical="center"/>
      <protection hidden="1"/>
    </xf>
    <xf numFmtId="167" fontId="29" fillId="0" borderId="0" xfId="0" applyNumberFormat="1" applyFont="1" applyAlignment="1" applyProtection="1">
      <alignment horizontal="right" vertical="center"/>
      <protection hidden="1"/>
    </xf>
    <xf numFmtId="0" fontId="0" fillId="0" borderId="60" xfId="0" applyBorder="1" applyProtection="1">
      <protection hidden="1"/>
    </xf>
    <xf numFmtId="0" fontId="0" fillId="0" borderId="60" xfId="0" applyBorder="1"/>
    <xf numFmtId="0" fontId="0" fillId="0" borderId="56" xfId="0" applyBorder="1" applyProtection="1">
      <protection hidden="1"/>
    </xf>
    <xf numFmtId="0" fontId="0" fillId="0" borderId="55" xfId="0" applyBorder="1" applyProtection="1">
      <protection hidden="1"/>
    </xf>
    <xf numFmtId="0" fontId="0" fillId="0" borderId="56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5" xfId="0" applyFont="1" applyBorder="1" applyProtection="1">
      <protection hidden="1"/>
    </xf>
    <xf numFmtId="0" fontId="2" fillId="0" borderId="56" xfId="0" applyFont="1" applyBorder="1" applyAlignment="1" applyProtection="1">
      <alignment horizontal="left"/>
      <protection hidden="1"/>
    </xf>
    <xf numFmtId="0" fontId="0" fillId="0" borderId="81" xfId="0" applyBorder="1" applyProtection="1">
      <protection hidden="1"/>
    </xf>
    <xf numFmtId="0" fontId="0" fillId="0" borderId="82" xfId="0" applyBorder="1" applyProtection="1">
      <protection hidden="1"/>
    </xf>
    <xf numFmtId="0" fontId="26" fillId="0" borderId="83" xfId="0" applyFont="1" applyBorder="1" applyProtection="1">
      <protection hidden="1"/>
    </xf>
    <xf numFmtId="0" fontId="26" fillId="0" borderId="84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4" fillId="2" borderId="67" xfId="2" applyFont="1" applyFill="1" applyBorder="1" applyAlignment="1" applyProtection="1">
      <alignment horizontal="center"/>
      <protection hidden="1"/>
    </xf>
    <xf numFmtId="0" fontId="4" fillId="2" borderId="54" xfId="2" applyFont="1" applyFill="1" applyBorder="1" applyAlignment="1" applyProtection="1">
      <alignment horizontal="center"/>
      <protection hidden="1"/>
    </xf>
    <xf numFmtId="0" fontId="4" fillId="2" borderId="66" xfId="2" applyFont="1" applyFill="1" applyBorder="1" applyAlignment="1" applyProtection="1">
      <alignment horizontal="center"/>
      <protection hidden="1"/>
    </xf>
    <xf numFmtId="0" fontId="0" fillId="8" borderId="60" xfId="0" applyFill="1" applyBorder="1" applyProtection="1">
      <protection hidden="1"/>
    </xf>
    <xf numFmtId="0" fontId="0" fillId="8" borderId="60" xfId="0" applyFill="1" applyBorder="1"/>
    <xf numFmtId="0" fontId="0" fillId="14" borderId="60" xfId="0" applyFill="1" applyBorder="1"/>
    <xf numFmtId="0" fontId="0" fillId="8" borderId="73" xfId="0" applyFill="1" applyBorder="1"/>
    <xf numFmtId="0" fontId="0" fillId="0" borderId="73" xfId="0" applyBorder="1"/>
    <xf numFmtId="0" fontId="0" fillId="0" borderId="87" xfId="0" applyBorder="1"/>
    <xf numFmtId="0" fontId="0" fillId="0" borderId="69" xfId="0" applyBorder="1" applyProtection="1">
      <protection hidden="1"/>
    </xf>
    <xf numFmtId="0" fontId="0" fillId="8" borderId="58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3" xfId="0" applyBorder="1" applyProtection="1">
      <protection hidden="1"/>
    </xf>
    <xf numFmtId="0" fontId="0" fillId="8" borderId="73" xfId="0" applyFill="1" applyBorder="1" applyProtection="1">
      <protection hidden="1"/>
    </xf>
    <xf numFmtId="0" fontId="0" fillId="14" borderId="73" xfId="0" applyFill="1" applyBorder="1"/>
    <xf numFmtId="0" fontId="0" fillId="0" borderId="58" xfId="0" applyBorder="1" applyProtection="1">
      <protection hidden="1"/>
    </xf>
    <xf numFmtId="0" fontId="2" fillId="0" borderId="87" xfId="0" applyFont="1" applyBorder="1" applyProtection="1">
      <protection hidden="1"/>
    </xf>
    <xf numFmtId="0" fontId="2" fillId="0" borderId="73" xfId="0" applyFont="1" applyBorder="1" applyProtection="1">
      <protection hidden="1"/>
    </xf>
    <xf numFmtId="164" fontId="40" fillId="15" borderId="0" xfId="1" applyNumberFormat="1" applyFont="1" applyFill="1" applyBorder="1" applyAlignment="1" applyProtection="1">
      <alignment horizontal="center" vertical="center"/>
      <protection hidden="1"/>
    </xf>
    <xf numFmtId="164" fontId="40" fillId="17" borderId="17" xfId="1" applyNumberFormat="1" applyFont="1" applyFill="1" applyBorder="1" applyAlignment="1" applyProtection="1">
      <alignment horizontal="center" vertical="center"/>
      <protection hidden="1"/>
    </xf>
    <xf numFmtId="164" fontId="40" fillId="17" borderId="0" xfId="1" applyNumberFormat="1" applyFont="1" applyFill="1" applyBorder="1" applyAlignment="1" applyProtection="1">
      <alignment horizontal="center" vertical="center"/>
      <protection hidden="1"/>
    </xf>
    <xf numFmtId="164" fontId="40" fillId="19" borderId="17" xfId="1" applyNumberFormat="1" applyFont="1" applyFill="1" applyBorder="1" applyAlignment="1" applyProtection="1">
      <alignment horizontal="center" vertical="center"/>
      <protection hidden="1"/>
    </xf>
    <xf numFmtId="164" fontId="40" fillId="19" borderId="15" xfId="1" applyNumberFormat="1" applyFont="1" applyFill="1" applyBorder="1" applyAlignment="1" applyProtection="1">
      <alignment horizontal="center" vertical="center"/>
      <protection hidden="1"/>
    </xf>
    <xf numFmtId="166" fontId="40" fillId="20" borderId="56" xfId="0" applyNumberFormat="1" applyFont="1" applyFill="1" applyBorder="1" applyAlignment="1" applyProtection="1">
      <alignment horizontal="center" vertical="top"/>
      <protection hidden="1"/>
    </xf>
    <xf numFmtId="0" fontId="43" fillId="15" borderId="0" xfId="0" applyFont="1" applyFill="1" applyProtection="1">
      <protection hidden="1"/>
    </xf>
    <xf numFmtId="164" fontId="40" fillId="17" borderId="15" xfId="1" applyNumberFormat="1" applyFont="1" applyFill="1" applyBorder="1" applyAlignment="1" applyProtection="1">
      <alignment horizontal="center" vertical="center"/>
      <protection hidden="1"/>
    </xf>
    <xf numFmtId="164" fontId="40" fillId="19" borderId="0" xfId="1" applyNumberFormat="1" applyFont="1" applyFill="1" applyBorder="1" applyAlignment="1" applyProtection="1">
      <alignment horizontal="center" vertical="center"/>
      <protection hidden="1"/>
    </xf>
    <xf numFmtId="166" fontId="40" fillId="24" borderId="57" xfId="0" applyNumberFormat="1" applyFont="1" applyFill="1" applyBorder="1" applyAlignment="1" applyProtection="1">
      <alignment horizontal="center" vertical="top"/>
      <protection hidden="1"/>
    </xf>
    <xf numFmtId="166" fontId="47" fillId="24" borderId="21" xfId="0" applyNumberFormat="1" applyFont="1" applyFill="1" applyBorder="1" applyAlignment="1" applyProtection="1">
      <alignment horizontal="center" vertical="center"/>
      <protection hidden="1"/>
    </xf>
    <xf numFmtId="166" fontId="47" fillId="24" borderId="42" xfId="0" applyNumberFormat="1" applyFont="1" applyFill="1" applyBorder="1" applyAlignment="1" applyProtection="1">
      <alignment horizontal="center" vertical="center"/>
      <protection hidden="1"/>
    </xf>
    <xf numFmtId="166" fontId="47" fillId="20" borderId="42" xfId="0" applyNumberFormat="1" applyFont="1" applyFill="1" applyBorder="1" applyAlignment="1" applyProtection="1">
      <alignment horizontal="center" vertical="center"/>
      <protection hidden="1"/>
    </xf>
    <xf numFmtId="166" fontId="47" fillId="20" borderId="21" xfId="0" applyNumberFormat="1" applyFont="1" applyFill="1" applyBorder="1" applyAlignment="1" applyProtection="1">
      <alignment horizontal="center" vertical="center"/>
      <protection hidden="1"/>
    </xf>
    <xf numFmtId="0" fontId="48" fillId="15" borderId="0" xfId="0" quotePrefix="1" applyFont="1" applyFill="1" applyAlignment="1" applyProtection="1">
      <alignment vertical="center" wrapText="1"/>
      <protection hidden="1"/>
    </xf>
    <xf numFmtId="0" fontId="43" fillId="15" borderId="0" xfId="0" applyFont="1" applyFill="1"/>
    <xf numFmtId="0" fontId="49" fillId="15" borderId="0" xfId="0" applyFont="1" applyFill="1" applyAlignment="1">
      <alignment horizontal="center"/>
    </xf>
    <xf numFmtId="0" fontId="50" fillId="15" borderId="0" xfId="0" quotePrefix="1" applyFont="1" applyFill="1" applyAlignment="1">
      <alignment vertical="center" wrapText="1"/>
    </xf>
    <xf numFmtId="0" fontId="43" fillId="0" borderId="0" xfId="0" applyFont="1" applyProtection="1">
      <protection hidden="1"/>
    </xf>
    <xf numFmtId="0" fontId="43" fillId="0" borderId="0" xfId="0" applyFont="1"/>
    <xf numFmtId="0" fontId="45" fillId="0" borderId="0" xfId="0" applyFont="1"/>
    <xf numFmtId="0" fontId="53" fillId="15" borderId="0" xfId="2" applyFont="1" applyFill="1" applyAlignment="1" applyProtection="1">
      <alignment vertical="center"/>
      <protection hidden="1"/>
    </xf>
    <xf numFmtId="0" fontId="42" fillId="15" borderId="0" xfId="2" applyFont="1" applyFill="1" applyProtection="1">
      <protection hidden="1"/>
    </xf>
    <xf numFmtId="164" fontId="54" fillId="15" borderId="0" xfId="1" applyNumberFormat="1" applyFont="1" applyFill="1" applyBorder="1" applyAlignment="1" applyProtection="1">
      <alignment horizontal="center" vertical="center"/>
      <protection hidden="1"/>
    </xf>
    <xf numFmtId="164" fontId="55" fillId="15" borderId="0" xfId="1" applyNumberFormat="1" applyFont="1" applyFill="1" applyBorder="1" applyAlignment="1" applyProtection="1">
      <alignment horizontal="center" vertical="center"/>
      <protection hidden="1"/>
    </xf>
    <xf numFmtId="165" fontId="56" fillId="15" borderId="0" xfId="0" quotePrefix="1" applyNumberFormat="1" applyFont="1" applyFill="1" applyAlignment="1" applyProtection="1">
      <alignment horizontal="right" vertical="center"/>
      <protection hidden="1"/>
    </xf>
    <xf numFmtId="165" fontId="47" fillId="15" borderId="0" xfId="0" quotePrefix="1" applyNumberFormat="1" applyFont="1" applyFill="1" applyAlignment="1" applyProtection="1">
      <alignment horizontal="center"/>
      <protection hidden="1"/>
    </xf>
    <xf numFmtId="0" fontId="35" fillId="0" borderId="0" xfId="2" applyFont="1" applyAlignment="1" applyProtection="1">
      <alignment vertical="center"/>
      <protection hidden="1"/>
    </xf>
    <xf numFmtId="0" fontId="57" fillId="5" borderId="0" xfId="2" applyFont="1" applyFill="1" applyAlignment="1" applyProtection="1">
      <alignment vertical="center"/>
      <protection hidden="1"/>
    </xf>
    <xf numFmtId="0" fontId="58" fillId="5" borderId="0" xfId="2" applyFont="1" applyFill="1" applyAlignment="1" applyProtection="1">
      <alignment vertical="center"/>
      <protection hidden="1"/>
    </xf>
    <xf numFmtId="166" fontId="51" fillId="15" borderId="0" xfId="0" applyNumberFormat="1" applyFont="1" applyFill="1" applyAlignment="1" applyProtection="1">
      <alignment vertical="top"/>
      <protection hidden="1"/>
    </xf>
    <xf numFmtId="173" fontId="61" fillId="15" borderId="69" xfId="0" quotePrefix="1" applyNumberFormat="1" applyFont="1" applyFill="1" applyBorder="1" applyAlignment="1" applyProtection="1">
      <alignment vertical="center" wrapText="1"/>
      <protection hidden="1"/>
    </xf>
    <xf numFmtId="166" fontId="62" fillId="20" borderId="40" xfId="0" applyNumberFormat="1" applyFont="1" applyFill="1" applyBorder="1" applyAlignment="1" applyProtection="1">
      <alignment horizontal="center" vertical="top"/>
      <protection hidden="1"/>
    </xf>
    <xf numFmtId="166" fontId="62" fillId="20" borderId="57" xfId="0" applyNumberFormat="1" applyFont="1" applyFill="1" applyBorder="1" applyAlignment="1" applyProtection="1">
      <alignment horizontal="center" vertical="top"/>
      <protection hidden="1"/>
    </xf>
    <xf numFmtId="0" fontId="63" fillId="7" borderId="53" xfId="0" applyFont="1" applyFill="1" applyBorder="1" applyAlignment="1" applyProtection="1">
      <alignment horizontal="center" vertical="top"/>
      <protection locked="0" hidden="1"/>
    </xf>
    <xf numFmtId="171" fontId="63" fillId="7" borderId="53" xfId="0" applyNumberFormat="1" applyFont="1" applyFill="1" applyBorder="1" applyAlignment="1" applyProtection="1">
      <alignment horizontal="center" vertical="top"/>
      <protection locked="0" hidden="1"/>
    </xf>
    <xf numFmtId="0" fontId="63" fillId="7" borderId="78" xfId="0" applyFont="1" applyFill="1" applyBorder="1" applyAlignment="1" applyProtection="1">
      <alignment horizontal="center" vertical="top"/>
      <protection locked="0" hidden="1"/>
    </xf>
    <xf numFmtId="0" fontId="63" fillId="7" borderId="86" xfId="0" applyFont="1" applyFill="1" applyBorder="1" applyAlignment="1" applyProtection="1">
      <alignment horizontal="center" vertical="top"/>
      <protection hidden="1"/>
    </xf>
    <xf numFmtId="0" fontId="50" fillId="13" borderId="59" xfId="0" quotePrefix="1" applyFont="1" applyFill="1" applyBorder="1" applyAlignment="1" applyProtection="1">
      <alignment horizontal="center" vertical="center"/>
      <protection hidden="1"/>
    </xf>
    <xf numFmtId="0" fontId="42" fillId="18" borderId="17" xfId="2" applyFont="1" applyFill="1" applyBorder="1" applyProtection="1">
      <protection hidden="1"/>
    </xf>
    <xf numFmtId="164" fontId="47" fillId="0" borderId="59" xfId="1" applyNumberFormat="1" applyFont="1" applyFill="1" applyBorder="1" applyAlignment="1" applyProtection="1">
      <alignment horizontal="center" vertical="center"/>
      <protection hidden="1"/>
    </xf>
    <xf numFmtId="0" fontId="67" fillId="0" borderId="0" xfId="0" applyFont="1" applyAlignment="1" applyProtection="1">
      <alignment horizontal="right" vertical="center"/>
      <protection hidden="1"/>
    </xf>
    <xf numFmtId="166" fontId="47" fillId="0" borderId="59" xfId="0" applyNumberFormat="1" applyFont="1" applyBorder="1" applyAlignment="1" applyProtection="1">
      <alignment horizontal="center" vertical="top"/>
      <protection hidden="1"/>
    </xf>
    <xf numFmtId="172" fontId="69" fillId="10" borderId="59" xfId="0" quotePrefix="1" applyNumberFormat="1" applyFont="1" applyFill="1" applyBorder="1" applyAlignment="1" applyProtection="1">
      <alignment horizontal="center" vertical="center"/>
      <protection locked="0"/>
    </xf>
    <xf numFmtId="172" fontId="69" fillId="10" borderId="59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166" fontId="42" fillId="18" borderId="17" xfId="2" applyNumberFormat="1" applyFont="1" applyFill="1" applyBorder="1" applyAlignment="1" applyProtection="1">
      <alignment horizontal="center"/>
      <protection hidden="1"/>
    </xf>
    <xf numFmtId="166" fontId="47" fillId="0" borderId="55" xfId="0" applyNumberFormat="1" applyFont="1" applyBorder="1" applyAlignment="1" applyProtection="1">
      <alignment horizontal="center" vertical="top"/>
      <protection hidden="1"/>
    </xf>
    <xf numFmtId="0" fontId="55" fillId="13" borderId="59" xfId="2" applyFont="1" applyFill="1" applyBorder="1" applyAlignment="1" applyProtection="1">
      <alignment horizontal="center" vertical="center"/>
      <protection hidden="1"/>
    </xf>
    <xf numFmtId="164" fontId="55" fillId="0" borderId="59" xfId="2" quotePrefix="1" applyNumberFormat="1" applyFont="1" applyBorder="1" applyAlignment="1" applyProtection="1">
      <alignment horizontal="center" vertical="center"/>
      <protection hidden="1"/>
    </xf>
    <xf numFmtId="169" fontId="70" fillId="7" borderId="52" xfId="0" applyNumberFormat="1" applyFont="1" applyFill="1" applyBorder="1" applyAlignment="1" applyProtection="1">
      <alignment horizontal="center" vertical="top"/>
      <protection locked="0" hidden="1"/>
    </xf>
    <xf numFmtId="0" fontId="71" fillId="0" borderId="0" xfId="0" applyFont="1" applyAlignment="1" applyProtection="1">
      <alignment horizontal="right" vertical="center"/>
      <protection hidden="1"/>
    </xf>
    <xf numFmtId="0" fontId="45" fillId="0" borderId="0" xfId="0" applyFont="1" applyAlignment="1" applyProtection="1">
      <alignment horizontal="right" vertical="top"/>
      <protection hidden="1"/>
    </xf>
    <xf numFmtId="0" fontId="66" fillId="0" borderId="0" xfId="0" applyFont="1" applyAlignment="1" applyProtection="1">
      <alignment horizontal="right" vertical="top"/>
      <protection hidden="1"/>
    </xf>
    <xf numFmtId="167" fontId="72" fillId="0" borderId="0" xfId="0" applyNumberFormat="1" applyFont="1" applyAlignment="1" applyProtection="1">
      <alignment horizontal="right" vertical="center"/>
      <protection hidden="1"/>
    </xf>
    <xf numFmtId="167" fontId="72" fillId="0" borderId="0" xfId="0" applyNumberFormat="1" applyFont="1" applyAlignment="1" applyProtection="1">
      <alignment vertical="center"/>
      <protection hidden="1"/>
    </xf>
    <xf numFmtId="0" fontId="53" fillId="0" borderId="0" xfId="2" applyFont="1" applyAlignment="1" applyProtection="1">
      <alignment vertical="center"/>
      <protection hidden="1"/>
    </xf>
    <xf numFmtId="0" fontId="0" fillId="0" borderId="59" xfId="0" applyBorder="1"/>
    <xf numFmtId="0" fontId="2" fillId="0" borderId="58" xfId="0" applyFont="1" applyBorder="1" applyProtection="1">
      <protection hidden="1"/>
    </xf>
    <xf numFmtId="166" fontId="47" fillId="0" borderId="59" xfId="0" applyNumberFormat="1" applyFont="1" applyBorder="1" applyAlignment="1" applyProtection="1">
      <alignment horizontal="center" vertical="top"/>
      <protection locked="0"/>
    </xf>
    <xf numFmtId="164" fontId="69" fillId="10" borderId="59" xfId="0" applyNumberFormat="1" applyFont="1" applyFill="1" applyBorder="1" applyAlignment="1" applyProtection="1">
      <alignment horizontal="center" vertical="center"/>
      <protection locked="0"/>
    </xf>
    <xf numFmtId="165" fontId="69" fillId="10" borderId="59" xfId="0" applyNumberFormat="1" applyFont="1" applyFill="1" applyBorder="1" applyAlignment="1" applyProtection="1">
      <alignment horizontal="center" vertical="center"/>
      <protection locked="0"/>
    </xf>
    <xf numFmtId="0" fontId="36" fillId="0" borderId="0" xfId="0" quotePrefix="1" applyFont="1" applyAlignment="1" applyProtection="1">
      <alignment horizontal="center" vertical="center" wrapText="1"/>
      <protection hidden="1"/>
    </xf>
    <xf numFmtId="164" fontId="40" fillId="17" borderId="40" xfId="1" applyNumberFormat="1" applyFont="1" applyFill="1" applyBorder="1" applyAlignment="1" applyProtection="1">
      <alignment horizontal="center" vertical="center"/>
      <protection hidden="1"/>
    </xf>
    <xf numFmtId="164" fontId="40" fillId="17" borderId="20" xfId="1" applyNumberFormat="1" applyFont="1" applyFill="1" applyBorder="1" applyAlignment="1" applyProtection="1">
      <alignment horizontal="center" vertical="center"/>
      <protection hidden="1"/>
    </xf>
    <xf numFmtId="0" fontId="74" fillId="4" borderId="0" xfId="0" applyFont="1" applyFill="1" applyProtection="1">
      <protection hidden="1"/>
    </xf>
    <xf numFmtId="0" fontId="75" fillId="4" borderId="0" xfId="0" applyFont="1" applyFill="1" applyAlignment="1" applyProtection="1">
      <alignment horizontal="left"/>
      <protection hidden="1"/>
    </xf>
    <xf numFmtId="0" fontId="76" fillId="4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39" fillId="4" borderId="0" xfId="0" applyFont="1" applyFill="1" applyProtection="1">
      <protection hidden="1"/>
    </xf>
    <xf numFmtId="0" fontId="68" fillId="13" borderId="93" xfId="0" applyFont="1" applyFill="1" applyBorder="1" applyAlignment="1" applyProtection="1">
      <alignment vertical="center"/>
      <protection hidden="1"/>
    </xf>
    <xf numFmtId="0" fontId="68" fillId="13" borderId="94" xfId="0" applyFont="1" applyFill="1" applyBorder="1" applyAlignment="1" applyProtection="1">
      <alignment vertical="center"/>
      <protection hidden="1"/>
    </xf>
    <xf numFmtId="0" fontId="68" fillId="13" borderId="92" xfId="0" applyFont="1" applyFill="1" applyBorder="1" applyAlignment="1" applyProtection="1">
      <alignment horizontal="center" vertical="center"/>
      <protection hidden="1"/>
    </xf>
    <xf numFmtId="0" fontId="77" fillId="26" borderId="2" xfId="0" applyFont="1" applyFill="1" applyBorder="1"/>
    <xf numFmtId="0" fontId="39" fillId="26" borderId="3" xfId="0" applyFont="1" applyFill="1" applyBorder="1" applyAlignment="1" applyProtection="1">
      <alignment horizontal="center"/>
      <protection hidden="1"/>
    </xf>
    <xf numFmtId="5" fontId="47" fillId="0" borderId="59" xfId="0" applyNumberFormat="1" applyFont="1" applyBorder="1" applyAlignment="1" applyProtection="1">
      <alignment horizontal="center" vertical="top"/>
      <protection locked="0"/>
    </xf>
    <xf numFmtId="0" fontId="49" fillId="15" borderId="0" xfId="0" applyFont="1" applyFill="1"/>
    <xf numFmtId="0" fontId="40" fillId="15" borderId="0" xfId="0" applyFont="1" applyFill="1"/>
    <xf numFmtId="164" fontId="40" fillId="17" borderId="9" xfId="1" applyNumberFormat="1" applyFont="1" applyFill="1" applyBorder="1" applyAlignment="1" applyProtection="1">
      <alignment horizontal="center" vertical="center" wrapText="1"/>
      <protection hidden="1"/>
    </xf>
    <xf numFmtId="164" fontId="40" fillId="17" borderId="0" xfId="1" applyNumberFormat="1" applyFont="1" applyFill="1" applyBorder="1" applyAlignment="1" applyProtection="1">
      <alignment horizontal="center" vertical="center" wrapText="1"/>
      <protection hidden="1"/>
    </xf>
    <xf numFmtId="166" fontId="47" fillId="0" borderId="70" xfId="0" applyNumberFormat="1" applyFont="1" applyBorder="1" applyAlignment="1" applyProtection="1">
      <alignment horizontal="center" vertical="top"/>
      <protection locked="0"/>
    </xf>
    <xf numFmtId="166" fontId="47" fillId="0" borderId="71" xfId="0" applyNumberFormat="1" applyFont="1" applyBorder="1" applyAlignment="1" applyProtection="1">
      <alignment horizontal="center" vertical="top"/>
      <protection locked="0"/>
    </xf>
    <xf numFmtId="166" fontId="49" fillId="20" borderId="57" xfId="0" applyNumberFormat="1" applyFont="1" applyFill="1" applyBorder="1" applyAlignment="1" applyProtection="1">
      <alignment horizontal="center" vertical="top"/>
      <protection hidden="1"/>
    </xf>
    <xf numFmtId="166" fontId="49" fillId="20" borderId="85" xfId="0" applyNumberFormat="1" applyFont="1" applyFill="1" applyBorder="1" applyAlignment="1" applyProtection="1">
      <alignment horizontal="center" vertical="top"/>
      <protection hidden="1"/>
    </xf>
    <xf numFmtId="0" fontId="42" fillId="18" borderId="7" xfId="2" applyFont="1" applyFill="1" applyBorder="1" applyAlignment="1" applyProtection="1">
      <alignment horizontal="center"/>
      <protection hidden="1"/>
    </xf>
    <xf numFmtId="0" fontId="42" fillId="18" borderId="10" xfId="2" applyFont="1" applyFill="1" applyBorder="1" applyAlignment="1" applyProtection="1">
      <alignment horizontal="center"/>
      <protection hidden="1"/>
    </xf>
    <xf numFmtId="0" fontId="42" fillId="18" borderId="18" xfId="2" applyFont="1" applyFill="1" applyBorder="1" applyAlignment="1" applyProtection="1">
      <alignment horizontal="center"/>
      <protection hidden="1"/>
    </xf>
    <xf numFmtId="0" fontId="47" fillId="13" borderId="57" xfId="0" applyFont="1" applyFill="1" applyBorder="1" applyAlignment="1" applyProtection="1">
      <alignment horizontal="center" vertical="center"/>
      <protection hidden="1"/>
    </xf>
    <xf numFmtId="0" fontId="47" fillId="13" borderId="69" xfId="0" applyFont="1" applyFill="1" applyBorder="1" applyAlignment="1" applyProtection="1">
      <alignment horizontal="center" vertical="center"/>
      <protection hidden="1"/>
    </xf>
    <xf numFmtId="0" fontId="64" fillId="16" borderId="2" xfId="0" quotePrefix="1" applyFont="1" applyFill="1" applyBorder="1" applyAlignment="1" applyProtection="1">
      <alignment horizontal="center" vertical="center" wrapText="1"/>
      <protection hidden="1"/>
    </xf>
    <xf numFmtId="0" fontId="64" fillId="16" borderId="4" xfId="0" quotePrefix="1" applyFont="1" applyFill="1" applyBorder="1" applyAlignment="1" applyProtection="1">
      <alignment horizontal="center" vertical="center" wrapText="1"/>
      <protection hidden="1"/>
    </xf>
    <xf numFmtId="0" fontId="64" fillId="16" borderId="90" xfId="0" quotePrefix="1" applyFont="1" applyFill="1" applyBorder="1" applyAlignment="1" applyProtection="1">
      <alignment horizontal="center" vertical="center" wrapText="1"/>
      <protection hidden="1"/>
    </xf>
    <xf numFmtId="0" fontId="73" fillId="25" borderId="91" xfId="0" applyFont="1" applyFill="1" applyBorder="1" applyAlignment="1" applyProtection="1">
      <alignment horizontal="center"/>
      <protection hidden="1"/>
    </xf>
    <xf numFmtId="0" fontId="73" fillId="25" borderId="0" xfId="0" applyFont="1" applyFill="1" applyAlignment="1" applyProtection="1">
      <alignment horizontal="center"/>
      <protection hidden="1"/>
    </xf>
    <xf numFmtId="164" fontId="40" fillId="17" borderId="0" xfId="1" applyNumberFormat="1" applyFont="1" applyFill="1" applyBorder="1" applyAlignment="1" applyProtection="1">
      <alignment horizontal="center" vertical="center"/>
      <protection hidden="1"/>
    </xf>
    <xf numFmtId="164" fontId="40" fillId="17" borderId="15" xfId="1" applyNumberFormat="1" applyFont="1" applyFill="1" applyBorder="1" applyAlignment="1" applyProtection="1">
      <alignment horizontal="center" vertical="center"/>
      <protection hidden="1"/>
    </xf>
    <xf numFmtId="0" fontId="46" fillId="16" borderId="0" xfId="0" quotePrefix="1" applyFont="1" applyFill="1" applyAlignment="1" applyProtection="1">
      <alignment horizontal="center" vertical="center" wrapText="1"/>
      <protection hidden="1"/>
    </xf>
    <xf numFmtId="0" fontId="64" fillId="16" borderId="74" xfId="0" quotePrefix="1" applyFont="1" applyFill="1" applyBorder="1" applyAlignment="1" applyProtection="1">
      <alignment horizontal="center" vertical="center" wrapText="1"/>
      <protection hidden="1"/>
    </xf>
    <xf numFmtId="0" fontId="64" fillId="16" borderId="88" xfId="0" quotePrefix="1" applyFont="1" applyFill="1" applyBorder="1" applyAlignment="1" applyProtection="1">
      <alignment horizontal="center" vertical="center" wrapText="1"/>
      <protection hidden="1"/>
    </xf>
    <xf numFmtId="0" fontId="64" fillId="16" borderId="89" xfId="0" quotePrefix="1" applyFont="1" applyFill="1" applyBorder="1" applyAlignment="1" applyProtection="1">
      <alignment horizontal="center" vertical="center" wrapText="1"/>
      <protection hidden="1"/>
    </xf>
    <xf numFmtId="164" fontId="40" fillId="17" borderId="57" xfId="1" applyNumberFormat="1" applyFont="1" applyFill="1" applyBorder="1" applyAlignment="1" applyProtection="1">
      <alignment horizontal="center" vertical="center"/>
      <protection hidden="1"/>
    </xf>
    <xf numFmtId="164" fontId="40" fillId="17" borderId="58" xfId="1" applyNumberFormat="1" applyFont="1" applyFill="1" applyBorder="1" applyAlignment="1" applyProtection="1">
      <alignment horizontal="center" vertical="center"/>
      <protection hidden="1"/>
    </xf>
    <xf numFmtId="164" fontId="40" fillId="17" borderId="69" xfId="1" applyNumberFormat="1" applyFont="1" applyFill="1" applyBorder="1" applyAlignment="1" applyProtection="1">
      <alignment horizontal="center" vertical="center"/>
      <protection hidden="1"/>
    </xf>
    <xf numFmtId="164" fontId="40" fillId="17" borderId="75" xfId="1" applyNumberFormat="1" applyFont="1" applyFill="1" applyBorder="1" applyAlignment="1" applyProtection="1">
      <alignment horizontal="center" vertical="center"/>
      <protection hidden="1"/>
    </xf>
    <xf numFmtId="164" fontId="40" fillId="17" borderId="71" xfId="1" applyNumberFormat="1" applyFont="1" applyFill="1" applyBorder="1" applyAlignment="1" applyProtection="1">
      <alignment horizontal="center" vertical="center"/>
      <protection hidden="1"/>
    </xf>
    <xf numFmtId="0" fontId="42" fillId="18" borderId="61" xfId="2" applyFont="1" applyFill="1" applyBorder="1" applyAlignment="1" applyProtection="1">
      <alignment horizontal="center"/>
      <protection hidden="1"/>
    </xf>
    <xf numFmtId="0" fontId="42" fillId="18" borderId="54" xfId="2" applyFont="1" applyFill="1" applyBorder="1" applyAlignment="1" applyProtection="1">
      <alignment horizontal="center"/>
      <protection hidden="1"/>
    </xf>
    <xf numFmtId="0" fontId="42" fillId="18" borderId="68" xfId="2" applyFont="1" applyFill="1" applyBorder="1" applyAlignment="1" applyProtection="1">
      <alignment horizontal="center"/>
      <protection hidden="1"/>
    </xf>
    <xf numFmtId="166" fontId="40" fillId="20" borderId="57" xfId="0" applyNumberFormat="1" applyFont="1" applyFill="1" applyBorder="1" applyAlignment="1" applyProtection="1">
      <alignment horizontal="center" vertical="top"/>
      <protection hidden="1"/>
    </xf>
    <xf numFmtId="166" fontId="40" fillId="20" borderId="69" xfId="0" applyNumberFormat="1" applyFont="1" applyFill="1" applyBorder="1" applyAlignment="1" applyProtection="1">
      <alignment horizontal="center" vertical="top"/>
      <protection hidden="1"/>
    </xf>
    <xf numFmtId="0" fontId="47" fillId="13" borderId="56" xfId="0" applyFont="1" applyFill="1" applyBorder="1" applyAlignment="1" applyProtection="1">
      <alignment horizontal="center" vertical="center"/>
      <protection hidden="1"/>
    </xf>
    <xf numFmtId="0" fontId="47" fillId="13" borderId="59" xfId="0" applyFont="1" applyFill="1" applyBorder="1" applyAlignment="1" applyProtection="1">
      <alignment horizontal="center" vertical="center"/>
      <protection hidden="1"/>
    </xf>
    <xf numFmtId="166" fontId="40" fillId="24" borderId="57" xfId="0" applyNumberFormat="1" applyFont="1" applyFill="1" applyBorder="1" applyAlignment="1" applyProtection="1">
      <alignment horizontal="center" vertical="top"/>
      <protection hidden="1"/>
    </xf>
    <xf numFmtId="166" fontId="40" fillId="24" borderId="85" xfId="0" applyNumberFormat="1" applyFont="1" applyFill="1" applyBorder="1" applyAlignment="1" applyProtection="1">
      <alignment horizontal="center" vertical="top"/>
      <protection hidden="1"/>
    </xf>
    <xf numFmtId="164" fontId="40" fillId="19" borderId="17" xfId="1" applyNumberFormat="1" applyFont="1" applyFill="1" applyBorder="1" applyAlignment="1" applyProtection="1">
      <alignment horizontal="center" vertical="center"/>
      <protection hidden="1"/>
    </xf>
    <xf numFmtId="164" fontId="40" fillId="19" borderId="0" xfId="1" applyNumberFormat="1" applyFont="1" applyFill="1" applyBorder="1" applyAlignment="1" applyProtection="1">
      <alignment horizontal="center" vertical="center"/>
      <protection hidden="1"/>
    </xf>
    <xf numFmtId="166" fontId="40" fillId="23" borderId="40" xfId="0" applyNumberFormat="1" applyFont="1" applyFill="1" applyBorder="1" applyAlignment="1" applyProtection="1">
      <alignment horizontal="center" vertical="top"/>
      <protection hidden="1"/>
    </xf>
    <xf numFmtId="166" fontId="40" fillId="23" borderId="21" xfId="0" applyNumberFormat="1" applyFont="1" applyFill="1" applyBorder="1" applyAlignment="1" applyProtection="1">
      <alignment horizontal="center" vertical="top"/>
      <protection hidden="1"/>
    </xf>
    <xf numFmtId="166" fontId="49" fillId="20" borderId="40" xfId="0" applyNumberFormat="1" applyFont="1" applyFill="1" applyBorder="1" applyAlignment="1" applyProtection="1">
      <alignment horizontal="center" vertical="top"/>
      <protection hidden="1"/>
    </xf>
    <xf numFmtId="166" fontId="49" fillId="20" borderId="42" xfId="0" applyNumberFormat="1" applyFont="1" applyFill="1" applyBorder="1" applyAlignment="1" applyProtection="1">
      <alignment horizontal="center" vertical="top"/>
      <protection hidden="1"/>
    </xf>
    <xf numFmtId="167" fontId="65" fillId="0" borderId="0" xfId="0" applyNumberFormat="1" applyFont="1" applyAlignment="1" applyProtection="1">
      <alignment horizontal="right" vertical="center"/>
      <protection hidden="1"/>
    </xf>
    <xf numFmtId="0" fontId="0" fillId="0" borderId="0" xfId="0" applyAlignment="1">
      <alignment wrapText="1"/>
    </xf>
    <xf numFmtId="0" fontId="41" fillId="16" borderId="0" xfId="2" applyFont="1" applyFill="1" applyAlignment="1" applyProtection="1">
      <alignment horizontal="center" vertical="center"/>
      <protection hidden="1"/>
    </xf>
    <xf numFmtId="164" fontId="40" fillId="17" borderId="17" xfId="1" applyNumberFormat="1" applyFont="1" applyFill="1" applyBorder="1" applyAlignment="1" applyProtection="1">
      <alignment horizontal="center" vertical="center"/>
      <protection hidden="1"/>
    </xf>
    <xf numFmtId="0" fontId="60" fillId="5" borderId="0" xfId="2" applyFont="1" applyFill="1" applyAlignment="1" applyProtection="1">
      <alignment horizontal="right" vertical="center"/>
      <protection hidden="1"/>
    </xf>
    <xf numFmtId="0" fontId="59" fillId="5" borderId="0" xfId="2" applyFont="1" applyFill="1" applyAlignment="1" applyProtection="1">
      <alignment horizontal="right" vertical="center"/>
      <protection hidden="1"/>
    </xf>
    <xf numFmtId="0" fontId="42" fillId="18" borderId="17" xfId="2" applyFont="1" applyFill="1" applyBorder="1" applyAlignment="1" applyProtection="1">
      <alignment horizontal="center"/>
      <protection hidden="1"/>
    </xf>
    <xf numFmtId="0" fontId="42" fillId="18" borderId="0" xfId="2" applyFont="1" applyFill="1" applyAlignment="1" applyProtection="1">
      <alignment horizontal="center"/>
      <protection hidden="1"/>
    </xf>
    <xf numFmtId="0" fontId="42" fillId="18" borderId="15" xfId="2" applyFont="1" applyFill="1" applyBorder="1" applyAlignment="1" applyProtection="1">
      <alignment horizontal="center"/>
      <protection hidden="1"/>
    </xf>
    <xf numFmtId="0" fontId="36" fillId="0" borderId="0" xfId="0" quotePrefix="1" applyFont="1" applyAlignment="1" applyProtection="1">
      <alignment horizontal="center" vertical="center" wrapText="1"/>
      <protection hidden="1"/>
    </xf>
    <xf numFmtId="0" fontId="50" fillId="13" borderId="0" xfId="0" applyFont="1" applyFill="1" applyAlignment="1" applyProtection="1">
      <alignment horizontal="center" vertical="center"/>
      <protection hidden="1"/>
    </xf>
    <xf numFmtId="164" fontId="40" fillId="17" borderId="40" xfId="1" applyNumberFormat="1" applyFont="1" applyFill="1" applyBorder="1" applyAlignment="1" applyProtection="1">
      <alignment horizontal="center" vertical="center"/>
      <protection hidden="1"/>
    </xf>
    <xf numFmtId="164" fontId="40" fillId="17" borderId="20" xfId="1" applyNumberFormat="1" applyFont="1" applyFill="1" applyBorder="1" applyAlignment="1" applyProtection="1">
      <alignment horizontal="center" vertical="center"/>
      <protection hidden="1"/>
    </xf>
    <xf numFmtId="164" fontId="40" fillId="17" borderId="42" xfId="1" applyNumberFormat="1" applyFont="1" applyFill="1" applyBorder="1" applyAlignment="1" applyProtection="1">
      <alignment horizontal="center" vertical="center"/>
      <protection hidden="1"/>
    </xf>
    <xf numFmtId="6" fontId="47" fillId="13" borderId="57" xfId="0" applyNumberFormat="1" applyFont="1" applyFill="1" applyBorder="1" applyAlignment="1" applyProtection="1">
      <alignment horizontal="center" vertical="center"/>
      <protection hidden="1"/>
    </xf>
    <xf numFmtId="6" fontId="47" fillId="13" borderId="69" xfId="0" applyNumberFormat="1" applyFont="1" applyFill="1" applyBorder="1" applyAlignment="1" applyProtection="1">
      <alignment horizontal="center" vertical="center"/>
      <protection hidden="1"/>
    </xf>
    <xf numFmtId="166" fontId="47" fillId="0" borderId="59" xfId="0" quotePrefix="1" applyNumberFormat="1" applyFont="1" applyBorder="1" applyAlignment="1" applyProtection="1">
      <alignment horizontal="center" vertical="center"/>
      <protection hidden="1"/>
    </xf>
    <xf numFmtId="164" fontId="52" fillId="13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43" fillId="13" borderId="59" xfId="0" applyFont="1" applyFill="1" applyBorder="1" applyAlignment="1" applyProtection="1">
      <alignment horizontal="center" vertical="center"/>
      <protection hidden="1"/>
    </xf>
    <xf numFmtId="0" fontId="42" fillId="18" borderId="17" xfId="2" applyFont="1" applyFill="1" applyBorder="1" applyAlignment="1" applyProtection="1">
      <alignment horizontal="center" vertical="center"/>
      <protection hidden="1"/>
    </xf>
    <xf numFmtId="0" fontId="42" fillId="18" borderId="0" xfId="2" applyFont="1" applyFill="1" applyAlignment="1" applyProtection="1">
      <alignment horizontal="center" vertical="center"/>
      <protection hidden="1"/>
    </xf>
    <xf numFmtId="164" fontId="40" fillId="21" borderId="61" xfId="1" applyNumberFormat="1" applyFont="1" applyFill="1" applyBorder="1" applyAlignment="1" applyProtection="1">
      <alignment horizontal="center" vertical="center"/>
      <protection hidden="1"/>
    </xf>
    <xf numFmtId="164" fontId="40" fillId="21" borderId="54" xfId="1" applyNumberFormat="1" applyFont="1" applyFill="1" applyBorder="1" applyAlignment="1" applyProtection="1">
      <alignment horizontal="center" vertical="center"/>
      <protection hidden="1"/>
    </xf>
    <xf numFmtId="0" fontId="44" fillId="22" borderId="17" xfId="2" applyFont="1" applyFill="1" applyBorder="1" applyAlignment="1" applyProtection="1">
      <alignment horizontal="center"/>
      <protection hidden="1"/>
    </xf>
    <xf numFmtId="0" fontId="44" fillId="22" borderId="0" xfId="2" applyFont="1" applyFill="1" applyAlignment="1" applyProtection="1">
      <alignment horizontal="center"/>
      <protection hidden="1"/>
    </xf>
    <xf numFmtId="0" fontId="46" fillId="16" borderId="5" xfId="0" quotePrefix="1" applyFont="1" applyFill="1" applyBorder="1" applyAlignment="1" applyProtection="1">
      <alignment horizontal="center" vertical="center" wrapText="1"/>
      <protection hidden="1"/>
    </xf>
    <xf numFmtId="0" fontId="46" fillId="16" borderId="9" xfId="0" quotePrefix="1" applyFont="1" applyFill="1" applyBorder="1" applyAlignment="1" applyProtection="1">
      <alignment horizontal="center" vertical="center" wrapText="1"/>
      <protection hidden="1"/>
    </xf>
    <xf numFmtId="0" fontId="46" fillId="16" borderId="40" xfId="0" quotePrefix="1" applyFont="1" applyFill="1" applyBorder="1" applyAlignment="1" applyProtection="1">
      <alignment horizontal="center" vertical="center" wrapText="1"/>
      <protection hidden="1"/>
    </xf>
    <xf numFmtId="0" fontId="46" fillId="16" borderId="20" xfId="0" quotePrefix="1" applyFont="1" applyFill="1" applyBorder="1" applyAlignment="1" applyProtection="1">
      <alignment horizontal="center" vertical="center" wrapText="1"/>
      <protection hidden="1"/>
    </xf>
    <xf numFmtId="0" fontId="46" fillId="16" borderId="16" xfId="0" quotePrefix="1" applyFont="1" applyFill="1" applyBorder="1" applyAlignment="1" applyProtection="1">
      <alignment horizontal="center" vertical="center" wrapText="1"/>
      <protection hidden="1"/>
    </xf>
    <xf numFmtId="0" fontId="46" fillId="16" borderId="42" xfId="0" quotePrefix="1" applyFont="1" applyFill="1" applyBorder="1" applyAlignment="1" applyProtection="1">
      <alignment horizontal="center" vertical="center" wrapText="1"/>
      <protection hidden="1"/>
    </xf>
    <xf numFmtId="0" fontId="32" fillId="6" borderId="5" xfId="0" applyFont="1" applyFill="1" applyBorder="1" applyAlignment="1" applyProtection="1">
      <alignment horizontal="center" vertical="top"/>
      <protection hidden="1"/>
    </xf>
    <xf numFmtId="0" fontId="32" fillId="6" borderId="9" xfId="0" applyFont="1" applyFill="1" applyBorder="1" applyAlignment="1" applyProtection="1">
      <alignment horizontal="center" vertical="top"/>
      <protection hidden="1"/>
    </xf>
    <xf numFmtId="0" fontId="32" fillId="6" borderId="7" xfId="0" applyFont="1" applyFill="1" applyBorder="1" applyAlignment="1" applyProtection="1">
      <alignment horizontal="center" vertical="top"/>
      <protection hidden="1"/>
    </xf>
    <xf numFmtId="0" fontId="32" fillId="6" borderId="10" xfId="0" applyFont="1" applyFill="1" applyBorder="1" applyAlignment="1" applyProtection="1">
      <alignment horizontal="center" vertical="top"/>
      <protection hidden="1"/>
    </xf>
    <xf numFmtId="0" fontId="4" fillId="3" borderId="2" xfId="2" applyFont="1" applyFill="1" applyBorder="1" applyAlignment="1" applyProtection="1">
      <alignment horizontal="center"/>
      <protection hidden="1"/>
    </xf>
    <xf numFmtId="0" fontId="4" fillId="3" borderId="4" xfId="2" applyFont="1" applyFill="1" applyBorder="1" applyAlignment="1" applyProtection="1">
      <alignment horizontal="center"/>
      <protection hidden="1"/>
    </xf>
    <xf numFmtId="0" fontId="4" fillId="3" borderId="3" xfId="2" applyFont="1" applyFill="1" applyBorder="1" applyAlignment="1" applyProtection="1">
      <alignment horizontal="center"/>
      <protection hidden="1"/>
    </xf>
    <xf numFmtId="0" fontId="4" fillId="2" borderId="7" xfId="2" applyFont="1" applyFill="1" applyBorder="1" applyAlignment="1" applyProtection="1">
      <alignment horizontal="center"/>
      <protection hidden="1"/>
    </xf>
    <xf numFmtId="0" fontId="4" fillId="2" borderId="10" xfId="2" applyFont="1" applyFill="1" applyBorder="1" applyAlignment="1" applyProtection="1">
      <alignment horizontal="center"/>
      <protection hidden="1"/>
    </xf>
    <xf numFmtId="165" fontId="38" fillId="0" borderId="7" xfId="0" applyNumberFormat="1" applyFont="1" applyBorder="1" applyAlignment="1">
      <alignment horizontal="center"/>
    </xf>
    <xf numFmtId="165" fontId="38" fillId="0" borderId="10" xfId="0" applyNumberFormat="1" applyFont="1" applyBorder="1" applyAlignment="1">
      <alignment horizontal="center"/>
    </xf>
    <xf numFmtId="165" fontId="38" fillId="0" borderId="18" xfId="0" applyNumberFormat="1" applyFont="1" applyBorder="1" applyAlignment="1">
      <alignment horizontal="center"/>
    </xf>
    <xf numFmtId="0" fontId="3" fillId="11" borderId="7" xfId="2" applyFill="1" applyBorder="1" applyAlignment="1">
      <alignment horizontal="center" wrapText="1"/>
    </xf>
    <xf numFmtId="0" fontId="3" fillId="11" borderId="10" xfId="2" applyFill="1" applyBorder="1" applyAlignment="1">
      <alignment horizontal="center" wrapText="1"/>
    </xf>
    <xf numFmtId="0" fontId="3" fillId="11" borderId="18" xfId="2" applyFill="1" applyBorder="1" applyAlignment="1">
      <alignment horizontal="center" wrapText="1"/>
    </xf>
    <xf numFmtId="0" fontId="3" fillId="11" borderId="17" xfId="2" applyFill="1" applyBorder="1" applyAlignment="1">
      <alignment horizontal="center" wrapText="1"/>
    </xf>
    <xf numFmtId="0" fontId="3" fillId="11" borderId="0" xfId="2" applyFill="1" applyAlignment="1">
      <alignment horizontal="center" wrapText="1"/>
    </xf>
    <xf numFmtId="0" fontId="3" fillId="11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6" fillId="0" borderId="10" xfId="5" applyBorder="1" applyAlignment="1">
      <alignment horizontal="left" vertical="center"/>
    </xf>
    <xf numFmtId="0" fontId="25" fillId="0" borderId="61" xfId="2" applyFont="1" applyBorder="1" applyAlignment="1">
      <alignment horizontal="center" vertical="center" wrapText="1"/>
    </xf>
    <xf numFmtId="0" fontId="25" fillId="0" borderId="54" xfId="2" applyFont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25" fillId="0" borderId="7" xfId="2" applyFont="1" applyBorder="1" applyAlignment="1">
      <alignment horizontal="center" vertical="center" wrapText="1"/>
    </xf>
    <xf numFmtId="0" fontId="25" fillId="0" borderId="10" xfId="2" applyFont="1" applyBorder="1" applyAlignment="1">
      <alignment horizontal="center" vertical="center" wrapText="1"/>
    </xf>
    <xf numFmtId="0" fontId="10" fillId="0" borderId="56" xfId="2" applyFont="1" applyBorder="1" applyAlignment="1">
      <alignment horizontal="center" vertical="center"/>
    </xf>
    <xf numFmtId="0" fontId="10" fillId="0" borderId="59" xfId="2" applyFont="1" applyBorder="1" applyAlignment="1">
      <alignment horizontal="center" vertical="center"/>
    </xf>
    <xf numFmtId="165" fontId="10" fillId="11" borderId="60" xfId="2" applyNumberFormat="1" applyFont="1" applyFill="1" applyBorder="1" applyAlignment="1">
      <alignment horizontal="center" vertical="center"/>
    </xf>
    <xf numFmtId="165" fontId="10" fillId="11" borderId="69" xfId="2" applyNumberFormat="1" applyFont="1" applyFill="1" applyBorder="1" applyAlignment="1">
      <alignment horizontal="center" vertical="center"/>
    </xf>
    <xf numFmtId="165" fontId="10" fillId="11" borderId="70" xfId="2" applyNumberFormat="1" applyFont="1" applyFill="1" applyBorder="1" applyAlignment="1">
      <alignment horizontal="center" vertical="center"/>
    </xf>
    <xf numFmtId="165" fontId="10" fillId="11" borderId="72" xfId="2" applyNumberFormat="1" applyFont="1" applyFill="1" applyBorder="1" applyAlignment="1">
      <alignment horizontal="center" vertical="center"/>
    </xf>
    <xf numFmtId="165" fontId="10" fillId="11" borderId="71" xfId="2" applyNumberFormat="1" applyFont="1" applyFill="1" applyBorder="1" applyAlignment="1">
      <alignment horizontal="center" vertical="center"/>
    </xf>
    <xf numFmtId="165" fontId="10" fillId="11" borderId="58" xfId="2" applyNumberFormat="1" applyFont="1" applyFill="1" applyBorder="1" applyAlignment="1">
      <alignment horizontal="center" vertical="center"/>
    </xf>
    <xf numFmtId="0" fontId="10" fillId="0" borderId="63" xfId="2" applyFont="1" applyBorder="1" applyAlignment="1">
      <alignment horizontal="center" vertical="center"/>
    </xf>
    <xf numFmtId="0" fontId="10" fillId="0" borderId="64" xfId="2" applyFont="1" applyBorder="1" applyAlignment="1">
      <alignment horizontal="center" vertical="center"/>
    </xf>
    <xf numFmtId="0" fontId="16" fillId="0" borderId="20" xfId="5" applyBorder="1" applyAlignment="1">
      <alignment horizontal="left" vertical="center"/>
    </xf>
    <xf numFmtId="0" fontId="21" fillId="12" borderId="2" xfId="2" quotePrefix="1" applyFont="1" applyFill="1" applyBorder="1" applyAlignment="1">
      <alignment horizontal="center"/>
    </xf>
    <xf numFmtId="0" fontId="21" fillId="12" borderId="4" xfId="2" quotePrefix="1" applyFont="1" applyFill="1" applyBorder="1" applyAlignment="1">
      <alignment horizontal="center"/>
    </xf>
    <xf numFmtId="0" fontId="21" fillId="12" borderId="3" xfId="2" quotePrefix="1" applyFont="1" applyFill="1" applyBorder="1" applyAlignment="1">
      <alignment horizontal="center"/>
    </xf>
    <xf numFmtId="0" fontId="4" fillId="12" borderId="5" xfId="2" applyFont="1" applyFill="1" applyBorder="1" applyAlignment="1">
      <alignment horizontal="center" vertical="center" wrapText="1"/>
    </xf>
    <xf numFmtId="0" fontId="4" fillId="12" borderId="9" xfId="2" applyFont="1" applyFill="1" applyBorder="1" applyAlignment="1">
      <alignment horizontal="center" vertical="center" wrapText="1"/>
    </xf>
    <xf numFmtId="0" fontId="4" fillId="12" borderId="16" xfId="2" applyFont="1" applyFill="1" applyBorder="1" applyAlignment="1">
      <alignment horizontal="center" vertical="center" wrapText="1"/>
    </xf>
    <xf numFmtId="44" fontId="12" fillId="0" borderId="4" xfId="3" applyFont="1" applyBorder="1" applyAlignment="1">
      <alignment horizontal="center"/>
    </xf>
    <xf numFmtId="44" fontId="12" fillId="0" borderId="3" xfId="3" applyFont="1" applyBorder="1" applyAlignment="1">
      <alignment horizontal="center"/>
    </xf>
    <xf numFmtId="0" fontId="20" fillId="12" borderId="17" xfId="2" quotePrefix="1" applyFont="1" applyFill="1" applyBorder="1" applyAlignment="1">
      <alignment horizontal="center" vertical="center"/>
    </xf>
    <xf numFmtId="0" fontId="20" fillId="12" borderId="0" xfId="2" quotePrefix="1" applyFont="1" applyFill="1" applyAlignment="1">
      <alignment horizontal="center" vertical="center"/>
    </xf>
    <xf numFmtId="0" fontId="20" fillId="12" borderId="15" xfId="2" quotePrefix="1" applyFont="1" applyFill="1" applyBorder="1" applyAlignment="1">
      <alignment horizontal="center" vertical="center"/>
    </xf>
    <xf numFmtId="6" fontId="19" fillId="0" borderId="7" xfId="6" applyNumberFormat="1" applyFont="1" applyBorder="1" applyAlignment="1">
      <alignment horizontal="center" vertical="center"/>
    </xf>
    <xf numFmtId="6" fontId="19" fillId="0" borderId="10" xfId="6" applyNumberFormat="1" applyFont="1" applyBorder="1" applyAlignment="1">
      <alignment horizontal="center" vertical="center"/>
    </xf>
    <xf numFmtId="6" fontId="19" fillId="0" borderId="18" xfId="6" applyNumberFormat="1" applyFont="1" applyBorder="1" applyAlignment="1">
      <alignment horizontal="center" vertical="center"/>
    </xf>
    <xf numFmtId="0" fontId="20" fillId="12" borderId="32" xfId="2" quotePrefix="1" applyFont="1" applyFill="1" applyBorder="1" applyAlignment="1">
      <alignment horizontal="center" vertical="center"/>
    </xf>
    <xf numFmtId="0" fontId="20" fillId="12" borderId="33" xfId="2" quotePrefix="1" applyFont="1" applyFill="1" applyBorder="1" applyAlignment="1">
      <alignment horizontal="center" vertical="center"/>
    </xf>
    <xf numFmtId="166" fontId="17" fillId="0" borderId="34" xfId="2" applyNumberFormat="1" applyFont="1" applyBorder="1" applyAlignment="1">
      <alignment horizontal="center"/>
    </xf>
    <xf numFmtId="166" fontId="17" fillId="0" borderId="35" xfId="2" applyNumberFormat="1" applyFont="1" applyBorder="1" applyAlignment="1">
      <alignment horizontal="center"/>
    </xf>
    <xf numFmtId="0" fontId="10" fillId="0" borderId="45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165" fontId="10" fillId="11" borderId="11" xfId="2" applyNumberFormat="1" applyFont="1" applyFill="1" applyBorder="1" applyAlignment="1">
      <alignment horizontal="center" vertical="center"/>
    </xf>
    <xf numFmtId="0" fontId="25" fillId="0" borderId="61" xfId="2" applyFont="1" applyBorder="1" applyAlignment="1">
      <alignment horizontal="center" vertical="center"/>
    </xf>
    <xf numFmtId="0" fontId="25" fillId="0" borderId="54" xfId="2" applyFont="1" applyBorder="1" applyAlignment="1">
      <alignment horizontal="center" vertical="center"/>
    </xf>
    <xf numFmtId="0" fontId="25" fillId="0" borderId="66" xfId="2" applyFont="1" applyBorder="1" applyAlignment="1">
      <alignment horizontal="center" vertical="center"/>
    </xf>
    <xf numFmtId="0" fontId="25" fillId="0" borderId="40" xfId="2" applyFont="1" applyBorder="1" applyAlignment="1">
      <alignment horizontal="center" vertical="center"/>
    </xf>
    <xf numFmtId="0" fontId="25" fillId="0" borderId="20" xfId="2" applyFont="1" applyBorder="1" applyAlignment="1">
      <alignment horizontal="center" vertical="center"/>
    </xf>
    <xf numFmtId="0" fontId="25" fillId="0" borderId="21" xfId="2" applyFont="1" applyBorder="1" applyAlignment="1">
      <alignment horizontal="center" vertical="center"/>
    </xf>
    <xf numFmtId="0" fontId="21" fillId="12" borderId="37" xfId="2" applyFont="1" applyFill="1" applyBorder="1" applyAlignment="1">
      <alignment horizontal="center" vertical="center"/>
    </xf>
    <xf numFmtId="0" fontId="21" fillId="12" borderId="25" xfId="2" applyFont="1" applyFill="1" applyBorder="1" applyAlignment="1">
      <alignment horizontal="center" vertical="center"/>
    </xf>
    <xf numFmtId="0" fontId="21" fillId="12" borderId="38" xfId="2" applyFont="1" applyFill="1" applyBorder="1" applyAlignment="1">
      <alignment horizontal="center" vertical="center"/>
    </xf>
    <xf numFmtId="0" fontId="16" fillId="0" borderId="0" xfId="5" applyAlignment="1">
      <alignment horizontal="left"/>
    </xf>
    <xf numFmtId="0" fontId="15" fillId="12" borderId="24" xfId="2" quotePrefix="1" applyFont="1" applyFill="1" applyBorder="1" applyAlignment="1">
      <alignment horizontal="center"/>
    </xf>
    <xf numFmtId="0" fontId="15" fillId="12" borderId="23" xfId="2" quotePrefix="1" applyFont="1" applyFill="1" applyBorder="1" applyAlignment="1">
      <alignment horizontal="center"/>
    </xf>
    <xf numFmtId="0" fontId="15" fillId="12" borderId="22" xfId="2" quotePrefix="1" applyFont="1" applyFill="1" applyBorder="1" applyAlignment="1">
      <alignment horizontal="center"/>
    </xf>
    <xf numFmtId="0" fontId="14" fillId="0" borderId="5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7" xfId="2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4" fillId="0" borderId="15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center" vertical="center" wrapText="1"/>
    </xf>
    <xf numFmtId="0" fontId="14" fillId="0" borderId="18" xfId="2" applyFont="1" applyBorder="1" applyAlignment="1">
      <alignment horizontal="center" vertical="center" wrapText="1"/>
    </xf>
    <xf numFmtId="0" fontId="25" fillId="0" borderId="66" xfId="2" applyFont="1" applyBorder="1" applyAlignment="1">
      <alignment horizontal="center" vertical="center" wrapText="1"/>
    </xf>
    <xf numFmtId="0" fontId="25" fillId="0" borderId="40" xfId="2" applyFont="1" applyBorder="1" applyAlignment="1">
      <alignment horizontal="center" vertical="center" wrapText="1"/>
    </xf>
    <xf numFmtId="0" fontId="25" fillId="0" borderId="20" xfId="2" applyFont="1" applyBorder="1" applyAlignment="1">
      <alignment horizontal="center" vertical="center" wrapText="1"/>
    </xf>
    <xf numFmtId="0" fontId="25" fillId="0" borderId="21" xfId="2" applyFont="1" applyBorder="1" applyAlignment="1">
      <alignment horizontal="center" vertical="center" wrapText="1"/>
    </xf>
    <xf numFmtId="0" fontId="16" fillId="0" borderId="27" xfId="5" applyBorder="1" applyAlignment="1">
      <alignment horizontal="left"/>
    </xf>
    <xf numFmtId="0" fontId="16" fillId="0" borderId="15" xfId="5" applyBorder="1" applyAlignment="1">
      <alignment horizontal="left"/>
    </xf>
    <xf numFmtId="0" fontId="16" fillId="0" borderId="20" xfId="5" applyBorder="1" applyAlignment="1">
      <alignment horizontal="left"/>
    </xf>
    <xf numFmtId="0" fontId="25" fillId="0" borderId="5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5" fillId="0" borderId="39" xfId="2" applyFont="1" applyBorder="1" applyAlignment="1">
      <alignment horizontal="center" vertical="center" wrapText="1"/>
    </xf>
    <xf numFmtId="0" fontId="25" fillId="0" borderId="14" xfId="2" applyFont="1" applyBorder="1" applyAlignment="1">
      <alignment horizontal="center" vertical="center" wrapText="1"/>
    </xf>
    <xf numFmtId="0" fontId="15" fillId="12" borderId="2" xfId="2" applyFont="1" applyFill="1" applyBorder="1" applyAlignment="1">
      <alignment horizontal="center" vertical="center" wrapText="1"/>
    </xf>
    <xf numFmtId="0" fontId="15" fillId="12" borderId="4" xfId="2" applyFont="1" applyFill="1" applyBorder="1" applyAlignment="1">
      <alignment horizontal="center" vertical="center" wrapText="1"/>
    </xf>
    <xf numFmtId="0" fontId="15" fillId="12" borderId="3" xfId="2" applyFont="1" applyFill="1" applyBorder="1" applyAlignment="1">
      <alignment horizontal="center" vertical="center" wrapText="1"/>
    </xf>
    <xf numFmtId="0" fontId="11" fillId="12" borderId="47" xfId="2" applyFont="1" applyFill="1" applyBorder="1" applyAlignment="1">
      <alignment horizontal="center" vertical="center" wrapText="1"/>
    </xf>
    <xf numFmtId="0" fontId="11" fillId="12" borderId="46" xfId="2" applyFont="1" applyFill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5" fillId="0" borderId="14" xfId="2" applyFont="1" applyBorder="1" applyAlignment="1">
      <alignment horizontal="center" vertical="center"/>
    </xf>
    <xf numFmtId="0" fontId="16" fillId="0" borderId="0" xfId="5" applyAlignment="1">
      <alignment horizontal="left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37"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366370</xdr:colOff>
      <xdr:row>7</xdr:row>
      <xdr:rowOff>169333</xdr:rowOff>
    </xdr:from>
    <xdr:to>
      <xdr:col>21</xdr:col>
      <xdr:colOff>1118845</xdr:colOff>
      <xdr:row>9</xdr:row>
      <xdr:rowOff>103282</xdr:rowOff>
    </xdr:to>
    <xdr:sp macro="[0]!ResetFunction" textlink="">
      <xdr:nvSpPr>
        <xdr:cNvPr id="7" name="Flowchart: Alternate Process 6">
          <a:extLst>
            <a:ext uri="{FF2B5EF4-FFF2-40B4-BE49-F238E27FC236}">
              <a16:creationId xmlns:a16="http://schemas.microsoft.com/office/drawing/2014/main" id="{A47215E6-8E99-443F-8D3E-67A51BC51608}"/>
            </a:ext>
          </a:extLst>
        </xdr:cNvPr>
        <xdr:cNvSpPr/>
      </xdr:nvSpPr>
      <xdr:spPr>
        <a:xfrm>
          <a:off x="20263037" y="1502833"/>
          <a:ext cx="752475" cy="314949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5B16-4D2C-4A18-8FB5-5EDE64405068}">
  <sheetPr codeName="Sheet1">
    <tabColor theme="4" tint="-0.499984740745262"/>
    <pageSetUpPr fitToPage="1"/>
  </sheetPr>
  <dimension ref="A1:AM115"/>
  <sheetViews>
    <sheetView showGridLines="0" tabSelected="1" zoomScale="90" zoomScaleNormal="90" workbookViewId="0"/>
  </sheetViews>
  <sheetFormatPr defaultColWidth="9.140625" defaultRowHeight="15"/>
  <cols>
    <col min="1" max="1" width="2.7109375" style="59" customWidth="1"/>
    <col min="2" max="2" width="18.28515625" style="59" customWidth="1"/>
    <col min="3" max="3" width="20.85546875" style="59" customWidth="1"/>
    <col min="4" max="5" width="16.7109375" style="59" customWidth="1"/>
    <col min="6" max="6" width="2.28515625" style="173" customWidth="1"/>
    <col min="7" max="7" width="15" style="59" customWidth="1"/>
    <col min="8" max="8" width="12.42578125" style="59" customWidth="1"/>
    <col min="9" max="16" width="15.7109375" style="59" customWidth="1"/>
    <col min="17" max="17" width="16.28515625" style="59" customWidth="1"/>
    <col min="18" max="18" width="1.85546875" style="59" customWidth="1"/>
    <col min="19" max="19" width="4.28515625" style="59" customWidth="1"/>
    <col min="20" max="20" width="22.7109375" style="59" customWidth="1"/>
    <col min="21" max="21" width="24.5703125" style="59" customWidth="1"/>
    <col min="22" max="22" width="22.7109375" style="59" customWidth="1"/>
    <col min="23" max="23" width="39.140625" style="59" customWidth="1"/>
    <col min="24" max="24" width="2.7109375" customWidth="1"/>
    <col min="25" max="25" width="14.140625" customWidth="1"/>
    <col min="26" max="26" width="14.42578125" customWidth="1"/>
    <col min="27" max="27" width="25.140625" customWidth="1"/>
    <col min="28" max="29" width="9.140625" customWidth="1"/>
    <col min="30" max="30" width="9.42578125" customWidth="1"/>
    <col min="31" max="31" width="17.140625" customWidth="1"/>
    <col min="32" max="33" width="9.140625" customWidth="1"/>
    <col min="34" max="45" width="9.140625" style="59" customWidth="1"/>
    <col min="46" max="16384" width="9.140625" style="59"/>
  </cols>
  <sheetData>
    <row r="1" spans="1:24" ht="15" customHeight="1">
      <c r="F1" s="59"/>
      <c r="M1" s="207"/>
      <c r="N1" s="173"/>
      <c r="O1" s="280" t="s">
        <v>305</v>
      </c>
      <c r="P1" s="280"/>
      <c r="Q1" s="280"/>
      <c r="R1" s="117"/>
      <c r="T1"/>
      <c r="U1"/>
      <c r="V1"/>
      <c r="W1"/>
    </row>
    <row r="2" spans="1:24" ht="15" customHeight="1">
      <c r="B2" s="248" t="s">
        <v>304</v>
      </c>
      <c r="C2" s="249"/>
      <c r="D2" s="249"/>
      <c r="F2" s="59"/>
      <c r="M2" s="207"/>
      <c r="N2" s="183"/>
      <c r="O2" s="281" t="s">
        <v>289</v>
      </c>
      <c r="P2" s="281"/>
      <c r="Q2" s="281"/>
      <c r="R2" s="117"/>
      <c r="T2"/>
      <c r="U2"/>
      <c r="V2"/>
      <c r="W2"/>
    </row>
    <row r="3" spans="1:24" ht="15" customHeight="1">
      <c r="B3" s="228" t="s">
        <v>295</v>
      </c>
      <c r="C3" s="226" t="s">
        <v>300</v>
      </c>
      <c r="D3" s="227"/>
      <c r="F3" s="59"/>
      <c r="M3" s="208"/>
      <c r="N3" s="173"/>
      <c r="O3" s="281" t="s">
        <v>43</v>
      </c>
      <c r="P3" s="281"/>
      <c r="Q3" s="281"/>
      <c r="R3" s="118"/>
    </row>
    <row r="4" spans="1:24" ht="15" customHeight="1">
      <c r="B4"/>
      <c r="C4"/>
      <c r="D4"/>
      <c r="F4" s="59"/>
      <c r="M4" s="209"/>
      <c r="N4" s="173"/>
      <c r="O4" s="184"/>
      <c r="P4" s="184"/>
      <c r="Q4" s="184"/>
      <c r="R4" s="119"/>
      <c r="U4" s="110"/>
      <c r="V4" s="110"/>
      <c r="W4" s="110"/>
    </row>
    <row r="5" spans="1:24">
      <c r="F5" s="59"/>
      <c r="L5" s="121"/>
      <c r="M5" s="210"/>
      <c r="N5" s="210"/>
      <c r="O5" s="173"/>
      <c r="P5" s="173"/>
      <c r="Q5" s="211"/>
      <c r="R5" s="120"/>
      <c r="U5"/>
      <c r="V5"/>
      <c r="W5"/>
    </row>
    <row r="6" spans="1:24" ht="14.25" customHeight="1"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212"/>
      <c r="N6" s="212"/>
      <c r="O6" s="196" t="s">
        <v>306</v>
      </c>
      <c r="P6" s="276">
        <v>46177</v>
      </c>
      <c r="Q6" s="276"/>
      <c r="R6"/>
      <c r="S6" s="285"/>
      <c r="T6" s="285"/>
      <c r="U6" s="285"/>
      <c r="V6" s="285"/>
      <c r="W6" s="218"/>
    </row>
    <row r="7" spans="1:24" ht="15.75" customHeight="1">
      <c r="A7" s="155"/>
      <c r="B7" s="278" t="s">
        <v>275</v>
      </c>
      <c r="C7" s="278"/>
      <c r="D7" s="278"/>
      <c r="E7" s="278"/>
      <c r="F7" s="169"/>
      <c r="G7" s="252" t="s">
        <v>125</v>
      </c>
      <c r="H7" s="252"/>
      <c r="I7" s="252"/>
      <c r="J7" s="252"/>
      <c r="K7" s="252"/>
      <c r="L7" s="252"/>
      <c r="M7" s="252"/>
      <c r="N7" s="252"/>
      <c r="O7" s="252"/>
      <c r="P7" s="252"/>
      <c r="Q7" s="252"/>
      <c r="R7" s="176"/>
      <c r="S7" s="252" t="s">
        <v>287</v>
      </c>
      <c r="T7" s="252"/>
      <c r="U7" s="252"/>
      <c r="V7" s="252"/>
      <c r="W7" s="170"/>
      <c r="X7" s="170"/>
    </row>
    <row r="8" spans="1:24" ht="15.75" customHeight="1" thickBot="1">
      <c r="A8" s="155"/>
      <c r="B8" s="278"/>
      <c r="C8" s="278"/>
      <c r="D8" s="278"/>
      <c r="E8" s="278"/>
      <c r="F8" s="169"/>
      <c r="G8" s="252"/>
      <c r="H8" s="252"/>
      <c r="I8" s="252"/>
      <c r="J8" s="252"/>
      <c r="K8" s="252"/>
      <c r="L8" s="252"/>
      <c r="M8" s="252"/>
      <c r="N8" s="252"/>
      <c r="O8" s="252"/>
      <c r="P8" s="252"/>
      <c r="Q8" s="252"/>
      <c r="R8" s="176"/>
      <c r="S8" s="252"/>
      <c r="T8" s="252"/>
      <c r="U8" s="252"/>
      <c r="V8" s="252"/>
      <c r="W8" s="170"/>
      <c r="X8" s="170"/>
    </row>
    <row r="9" spans="1:24" ht="14.25" customHeight="1">
      <c r="A9" s="155"/>
      <c r="B9" s="279"/>
      <c r="C9" s="250"/>
      <c r="D9" s="250"/>
      <c r="E9" s="250"/>
      <c r="F9" s="161"/>
      <c r="G9" s="156"/>
      <c r="H9" s="157"/>
      <c r="I9" s="157"/>
      <c r="J9" s="157"/>
      <c r="K9" s="157"/>
      <c r="L9" s="157"/>
      <c r="M9" s="157"/>
      <c r="N9" s="157"/>
      <c r="O9" s="157"/>
      <c r="P9" s="157"/>
      <c r="Q9" s="162"/>
      <c r="R9" s="161"/>
      <c r="S9" s="274" t="s">
        <v>119</v>
      </c>
      <c r="T9" s="275"/>
      <c r="U9" s="206">
        <v>0</v>
      </c>
      <c r="V9" s="170"/>
      <c r="W9" s="170"/>
      <c r="X9" s="170"/>
    </row>
    <row r="10" spans="1:24" ht="15" customHeight="1">
      <c r="A10" s="155"/>
      <c r="B10" s="295" t="s">
        <v>276</v>
      </c>
      <c r="C10" s="296"/>
      <c r="D10" s="296"/>
      <c r="E10" s="296"/>
      <c r="F10" s="161"/>
      <c r="G10" s="282" t="s">
        <v>277</v>
      </c>
      <c r="H10" s="283"/>
      <c r="I10" s="283"/>
      <c r="J10" s="283"/>
      <c r="K10" s="283"/>
      <c r="L10" s="283"/>
      <c r="M10" s="283"/>
      <c r="N10" s="283"/>
      <c r="O10" s="283"/>
      <c r="P10" s="283"/>
      <c r="Q10" s="284"/>
      <c r="R10" s="177"/>
      <c r="S10" s="238" t="s">
        <v>1</v>
      </c>
      <c r="T10" s="239"/>
      <c r="U10" s="189" t="s">
        <v>27</v>
      </c>
      <c r="V10" s="170"/>
      <c r="W10" s="170"/>
      <c r="X10" s="170"/>
    </row>
    <row r="11" spans="1:24" ht="15.75" customHeight="1">
      <c r="A11" s="155"/>
      <c r="B11" s="158"/>
      <c r="C11" s="159" t="s">
        <v>28</v>
      </c>
      <c r="D11" s="159" t="s">
        <v>4</v>
      </c>
      <c r="E11" s="159" t="s">
        <v>186</v>
      </c>
      <c r="F11" s="161"/>
      <c r="G11" s="270"/>
      <c r="H11" s="271"/>
      <c r="I11" s="163" t="s">
        <v>293</v>
      </c>
      <c r="J11" s="163" t="s">
        <v>134</v>
      </c>
      <c r="K11" s="163" t="s">
        <v>135</v>
      </c>
      <c r="L11" s="163" t="s">
        <v>136</v>
      </c>
      <c r="M11" s="163" t="s">
        <v>137</v>
      </c>
      <c r="N11" s="163" t="s">
        <v>138</v>
      </c>
      <c r="O11" s="163" t="s">
        <v>139</v>
      </c>
      <c r="P11" s="163" t="s">
        <v>140</v>
      </c>
      <c r="Q11" s="159" t="s">
        <v>141</v>
      </c>
      <c r="R11" s="178"/>
      <c r="S11" s="238" t="s">
        <v>2</v>
      </c>
      <c r="T11" s="239"/>
      <c r="U11" s="189" t="s">
        <v>27</v>
      </c>
      <c r="V11" s="188">
        <f>IF(U11="Choose a Selection",0,IF(OR(U10='Feed(WS)'!B3),INDEX(I12:I19,MATCH(U11,G12:G19,0)),INDEX(I12:Q19,MATCH(U11,G12:G19,0),MATCH(U10,I11:Q11,0))))</f>
        <v>0</v>
      </c>
      <c r="W11" s="170"/>
      <c r="X11" s="170"/>
    </row>
    <row r="12" spans="1:24" ht="15.75" customHeight="1">
      <c r="A12" s="155"/>
      <c r="B12" s="160">
        <v>7.25</v>
      </c>
      <c r="C12" s="195">
        <v>98.625</v>
      </c>
      <c r="D12" s="195">
        <v>98.125</v>
      </c>
      <c r="E12" s="160"/>
      <c r="F12" s="161"/>
      <c r="G12" s="272" t="s">
        <v>126</v>
      </c>
      <c r="H12" s="273"/>
      <c r="I12" s="197">
        <v>1</v>
      </c>
      <c r="J12" s="197">
        <v>0.25</v>
      </c>
      <c r="K12" s="197">
        <v>0.125</v>
      </c>
      <c r="L12" s="197">
        <v>-0.125</v>
      </c>
      <c r="M12" s="197">
        <v>-0.25</v>
      </c>
      <c r="N12" s="197">
        <v>-0.75</v>
      </c>
      <c r="O12" s="197">
        <v>-1.125</v>
      </c>
      <c r="P12" s="197">
        <v>-3</v>
      </c>
      <c r="Q12" s="197">
        <v>-5</v>
      </c>
      <c r="R12" s="179"/>
      <c r="S12" s="238" t="s">
        <v>147</v>
      </c>
      <c r="T12" s="239"/>
      <c r="U12" s="189" t="s">
        <v>27</v>
      </c>
      <c r="V12" s="188">
        <f>IF(U12="Choose a Selection",0,INDEX($G$23:$Q$24,MATCH($U$12,$G$23:$G$24,0),MATCH($U$10,$G$11:$Q$11,0)))</f>
        <v>0</v>
      </c>
      <c r="W12" s="170"/>
      <c r="X12" s="170"/>
    </row>
    <row r="13" spans="1:24" ht="15" customHeight="1">
      <c r="A13" s="155"/>
      <c r="B13" s="160">
        <v>7.375</v>
      </c>
      <c r="C13" s="195">
        <v>99.25</v>
      </c>
      <c r="D13" s="195">
        <v>98.75</v>
      </c>
      <c r="E13" s="160"/>
      <c r="F13" s="161"/>
      <c r="G13" s="264" t="s">
        <v>127</v>
      </c>
      <c r="H13" s="265"/>
      <c r="I13" s="197">
        <v>0.875</v>
      </c>
      <c r="J13" s="197">
        <v>0.125</v>
      </c>
      <c r="K13" s="197">
        <v>-0.125</v>
      </c>
      <c r="L13" s="197">
        <v>-0.25</v>
      </c>
      <c r="M13" s="197">
        <v>-0.375</v>
      </c>
      <c r="N13" s="197">
        <v>-1</v>
      </c>
      <c r="O13" s="197">
        <v>-1.375</v>
      </c>
      <c r="P13" s="197">
        <v>-3.25</v>
      </c>
      <c r="Q13" s="197">
        <v>-5.5</v>
      </c>
      <c r="R13" s="179"/>
      <c r="S13" s="238" t="s">
        <v>3</v>
      </c>
      <c r="T13" s="239"/>
      <c r="U13" s="189" t="s">
        <v>27</v>
      </c>
      <c r="V13" s="188">
        <f>IF(OR(U13="Choose a Selection",U13='Feed(WS)'!C4,U13='Feed(WS)'!C5,U13='Feed(WS)'!C6),0,INDEX($G$26:$Q$26,MATCH($U$13,$G$26,0),MATCH($U$10,$G$11:$Q$11,0)))</f>
        <v>0</v>
      </c>
      <c r="W13" s="170"/>
      <c r="X13" s="170">
        <f>'Feed(WS)'!B64</f>
        <v>0</v>
      </c>
    </row>
    <row r="14" spans="1:24" ht="14.25" customHeight="1">
      <c r="A14" s="155"/>
      <c r="B14" s="160">
        <v>7.4989999999999997</v>
      </c>
      <c r="C14" s="195">
        <v>99.875</v>
      </c>
      <c r="D14" s="195">
        <v>99.375</v>
      </c>
      <c r="E14" s="160"/>
      <c r="F14" s="161"/>
      <c r="G14" s="264" t="s">
        <v>128</v>
      </c>
      <c r="H14" s="265"/>
      <c r="I14" s="197">
        <v>0.75</v>
      </c>
      <c r="J14" s="197">
        <v>-0.125</v>
      </c>
      <c r="K14" s="197">
        <v>-0.25</v>
      </c>
      <c r="L14" s="197">
        <v>-0.375</v>
      </c>
      <c r="M14" s="197">
        <v>-0.625</v>
      </c>
      <c r="N14" s="197">
        <v>-1.375</v>
      </c>
      <c r="O14" s="197">
        <v>-1.625</v>
      </c>
      <c r="P14" s="197">
        <v>-3.75</v>
      </c>
      <c r="Q14" s="197">
        <v>-6.25</v>
      </c>
      <c r="R14" s="179"/>
      <c r="S14" s="238" t="s">
        <v>188</v>
      </c>
      <c r="T14" s="239"/>
      <c r="U14" s="189" t="s">
        <v>27</v>
      </c>
      <c r="V14" s="188">
        <f>IF(OR(U14="Choose a Selection",U14='Feed(WS)'!D3),0,INDEX($G$26:$Q$31,MATCH($U$14,$G$26:$G$31,0),MATCH($U$10,$G$11:$Q$11,0)))</f>
        <v>0</v>
      </c>
      <c r="W14" s="170"/>
      <c r="X14" s="170"/>
    </row>
    <row r="15" spans="1:24" ht="15" customHeight="1">
      <c r="A15" s="155"/>
      <c r="B15" s="160">
        <v>7.625</v>
      </c>
      <c r="C15" s="195">
        <v>100.3125</v>
      </c>
      <c r="D15" s="195">
        <v>99.8125</v>
      </c>
      <c r="E15" s="160"/>
      <c r="F15" s="161"/>
      <c r="G15" s="264" t="s">
        <v>129</v>
      </c>
      <c r="H15" s="265"/>
      <c r="I15" s="197">
        <v>0.5</v>
      </c>
      <c r="J15" s="197">
        <v>-0.25</v>
      </c>
      <c r="K15" s="197">
        <v>-0.375</v>
      </c>
      <c r="L15" s="197">
        <v>-0.625</v>
      </c>
      <c r="M15" s="197">
        <v>-1.125</v>
      </c>
      <c r="N15" s="197">
        <v>-1.625</v>
      </c>
      <c r="O15" s="197">
        <v>-2.25</v>
      </c>
      <c r="P15" s="197">
        <v>-4.75</v>
      </c>
      <c r="Q15" s="197">
        <v>-7.5</v>
      </c>
      <c r="R15" s="179"/>
      <c r="S15" s="238" t="s">
        <v>5</v>
      </c>
      <c r="T15" s="239"/>
      <c r="U15" s="189" t="s">
        <v>27</v>
      </c>
      <c r="V15" s="188" cm="1">
        <f t="array" ref="V15">IF(U15="Choose a Selection",0,IF(OR(U15='Feed(WS)'!L3:L5),0,INDEX($G$47:$Q$48,MATCH($U$15,$G$47:$G$48,0),MATCH($U$10,$G$11:$Q$11,0))))</f>
        <v>0</v>
      </c>
      <c r="W15" s="170"/>
      <c r="X15" s="170"/>
    </row>
    <row r="16" spans="1:24" ht="15" customHeight="1">
      <c r="A16" s="155"/>
      <c r="B16" s="160">
        <v>7.75</v>
      </c>
      <c r="C16" s="195">
        <v>100.75</v>
      </c>
      <c r="D16" s="195">
        <v>100.25</v>
      </c>
      <c r="E16" s="160"/>
      <c r="F16" s="161"/>
      <c r="G16" s="264" t="s">
        <v>130</v>
      </c>
      <c r="H16" s="265"/>
      <c r="I16" s="197">
        <v>0.25</v>
      </c>
      <c r="J16" s="197">
        <v>-0.375</v>
      </c>
      <c r="K16" s="197">
        <v>-0.875</v>
      </c>
      <c r="L16" s="197">
        <v>-1.125</v>
      </c>
      <c r="M16" s="197">
        <v>-1.5</v>
      </c>
      <c r="N16" s="197">
        <v>-2</v>
      </c>
      <c r="O16" s="197">
        <v>-3</v>
      </c>
      <c r="P16" s="197">
        <v>-6</v>
      </c>
      <c r="Q16" s="197">
        <v>-9.25</v>
      </c>
      <c r="R16" s="179"/>
      <c r="S16" s="238" t="s">
        <v>7</v>
      </c>
      <c r="T16" s="239"/>
      <c r="U16" s="189" t="s">
        <v>27</v>
      </c>
      <c r="V16" s="188">
        <f>IF(U16="Choose a Selection",0,IF(OR(U16='Feed(WS)'!E6),0,INDEX($G$43:$Q$45,MATCH($U$16,$G$43:$G$45,0),MATCH($U$10,$G$11:$Q$11,0))))</f>
        <v>0</v>
      </c>
      <c r="W16" s="170"/>
      <c r="X16" s="170"/>
    </row>
    <row r="17" spans="1:25" ht="15.75" customHeight="1">
      <c r="A17" s="155"/>
      <c r="B17" s="160">
        <v>7.875</v>
      </c>
      <c r="C17" s="195">
        <v>101.1875</v>
      </c>
      <c r="D17" s="195">
        <v>100.6875</v>
      </c>
      <c r="E17" s="160"/>
      <c r="F17" s="161"/>
      <c r="G17" s="264" t="s">
        <v>131</v>
      </c>
      <c r="H17" s="265"/>
      <c r="I17" s="197">
        <v>-0.375</v>
      </c>
      <c r="J17" s="197">
        <v>-1</v>
      </c>
      <c r="K17" s="197">
        <v>-1.5</v>
      </c>
      <c r="L17" s="197">
        <v>-2</v>
      </c>
      <c r="M17" s="197">
        <v>-2.375</v>
      </c>
      <c r="N17" s="197">
        <v>-3</v>
      </c>
      <c r="O17" s="197">
        <v>-4.5</v>
      </c>
      <c r="P17" s="197">
        <v>-7.25</v>
      </c>
      <c r="Q17" s="197">
        <v>-10.5</v>
      </c>
      <c r="R17" s="179"/>
      <c r="S17" s="238" t="s">
        <v>8</v>
      </c>
      <c r="T17" s="239"/>
      <c r="U17" s="190" t="s">
        <v>27</v>
      </c>
      <c r="V17" s="188">
        <f>IF(OR(U17="Choose a Selection",U17='Feed(WS)'!F2),0,INDEX($G$36:$Q$41,MATCH($U$17,$G$36:$G$41,0),MATCH($U$10,$G$11:$Q$11,0)))</f>
        <v>0</v>
      </c>
      <c r="W17" s="170"/>
      <c r="X17" s="170"/>
    </row>
    <row r="18" spans="1:25" ht="15.75" customHeight="1">
      <c r="A18" s="155"/>
      <c r="B18" s="160">
        <v>7.9989999999999997</v>
      </c>
      <c r="C18" s="195">
        <v>101.59375</v>
      </c>
      <c r="D18" s="195">
        <v>101.09375</v>
      </c>
      <c r="E18" s="160"/>
      <c r="F18" s="161"/>
      <c r="G18" s="264" t="s">
        <v>132</v>
      </c>
      <c r="H18" s="265"/>
      <c r="I18" s="197">
        <v>-2</v>
      </c>
      <c r="J18" s="197">
        <v>-2.25</v>
      </c>
      <c r="K18" s="197">
        <v>-2.75</v>
      </c>
      <c r="L18" s="197">
        <v>-3.25</v>
      </c>
      <c r="M18" s="197">
        <v>-3.625</v>
      </c>
      <c r="N18" s="197">
        <v>-4.25</v>
      </c>
      <c r="O18" s="197">
        <v>-6.75</v>
      </c>
      <c r="P18" s="197">
        <v>-9</v>
      </c>
      <c r="Q18" s="167" t="e">
        <v>#N/A</v>
      </c>
      <c r="R18" s="179"/>
      <c r="S18" s="238" t="s">
        <v>9</v>
      </c>
      <c r="T18" s="239"/>
      <c r="U18" s="189" t="s">
        <v>27</v>
      </c>
      <c r="V18" s="188">
        <f>IF(U13="DSCR",0,IF(U18="Choose a Selection",0,IF(OR(U18='Feed(WS)'!I3),0,INDEX($G$33:$Q$34,MATCH($U$18,$G$33:$G$34,0),MATCH($U$10,$G$11:$Q$11,0)))))</f>
        <v>0</v>
      </c>
      <c r="W18" s="170"/>
      <c r="X18" s="170"/>
    </row>
    <row r="19" spans="1:25" ht="15.75" customHeight="1">
      <c r="A19" s="155"/>
      <c r="B19" s="160">
        <v>8.125</v>
      </c>
      <c r="C19" s="195">
        <v>102</v>
      </c>
      <c r="D19" s="195">
        <v>101.5</v>
      </c>
      <c r="E19" s="160"/>
      <c r="F19" s="161"/>
      <c r="G19" s="264" t="s">
        <v>133</v>
      </c>
      <c r="H19" s="265"/>
      <c r="I19" s="197">
        <v>-3</v>
      </c>
      <c r="J19" s="197">
        <v>-3.25</v>
      </c>
      <c r="K19" s="197">
        <v>-3.75</v>
      </c>
      <c r="L19" s="197">
        <v>-4.25</v>
      </c>
      <c r="M19" s="197">
        <v>-4.625</v>
      </c>
      <c r="N19" s="197">
        <v>-5.75</v>
      </c>
      <c r="O19" s="197">
        <v>-7.75</v>
      </c>
      <c r="P19" s="168" t="e">
        <v>#N/A</v>
      </c>
      <c r="Q19" s="167" t="e">
        <v>#N/A</v>
      </c>
      <c r="R19" s="179"/>
      <c r="S19" s="238" t="s">
        <v>10</v>
      </c>
      <c r="T19" s="239"/>
      <c r="U19" s="189" t="s">
        <v>27</v>
      </c>
      <c r="V19" s="188">
        <f>IF(U19="Choose a Selection",0,IF(OR(U19='Feed(WS)'!H3),0,INDEX($G$50:$Q$52,MATCH($U$19,$G$50:$G$52,0),MATCH($U$10,$G$11:$Q$11,0))))</f>
        <v>0</v>
      </c>
      <c r="W19" s="170"/>
      <c r="X19" s="170"/>
    </row>
    <row r="20" spans="1:25" ht="15.75" customHeight="1">
      <c r="A20" s="155"/>
      <c r="B20" s="160">
        <v>8.25</v>
      </c>
      <c r="C20" s="195">
        <v>102.40625</v>
      </c>
      <c r="D20" s="195">
        <v>101.90625</v>
      </c>
      <c r="E20" s="160"/>
      <c r="F20" s="161"/>
      <c r="G20" s="268"/>
      <c r="H20" s="269"/>
      <c r="I20" s="268"/>
      <c r="J20" s="269"/>
      <c r="K20" s="268"/>
      <c r="L20" s="269"/>
      <c r="M20" s="268"/>
      <c r="N20" s="269"/>
      <c r="O20" s="164"/>
      <c r="P20" s="165"/>
      <c r="Q20" s="166"/>
      <c r="R20" s="179"/>
      <c r="S20" s="238" t="s">
        <v>11</v>
      </c>
      <c r="T20" s="239"/>
      <c r="U20" s="189" t="s">
        <v>27</v>
      </c>
      <c r="V20" s="188" t="e">
        <f>INDEX(W57:W59,MATCH($U$20,$V$57:$V$59,0))</f>
        <v>#N/A</v>
      </c>
      <c r="W20" s="170"/>
      <c r="X20" s="170"/>
    </row>
    <row r="21" spans="1:25" ht="15.75" customHeight="1">
      <c r="A21" s="155"/>
      <c r="B21" s="160">
        <v>8.375</v>
      </c>
      <c r="C21" s="195">
        <v>102.78125</v>
      </c>
      <c r="D21" s="195">
        <v>102.28125</v>
      </c>
      <c r="E21" s="160"/>
      <c r="F21" s="161"/>
      <c r="G21" s="282" t="s">
        <v>278</v>
      </c>
      <c r="H21" s="283"/>
      <c r="I21" s="283"/>
      <c r="J21" s="283"/>
      <c r="K21" s="283"/>
      <c r="L21" s="283"/>
      <c r="M21" s="283"/>
      <c r="N21" s="283"/>
      <c r="O21" s="283"/>
      <c r="P21" s="283"/>
      <c r="Q21" s="284"/>
      <c r="R21" s="179"/>
      <c r="S21" s="238" t="s">
        <v>12</v>
      </c>
      <c r="T21" s="239"/>
      <c r="U21" s="189" t="s">
        <v>27</v>
      </c>
      <c r="V21" s="188">
        <v>0</v>
      </c>
      <c r="W21" s="170"/>
      <c r="X21" s="170"/>
    </row>
    <row r="22" spans="1:25" ht="15.75" customHeight="1">
      <c r="A22" s="155"/>
      <c r="B22" s="160">
        <v>8.4990000000000006</v>
      </c>
      <c r="C22" s="195">
        <v>103.15625</v>
      </c>
      <c r="D22" s="195">
        <v>102.65625</v>
      </c>
      <c r="E22" s="195">
        <v>99.9</v>
      </c>
      <c r="F22" s="161"/>
      <c r="G22" s="287" t="s">
        <v>147</v>
      </c>
      <c r="H22" s="288"/>
      <c r="I22" s="288"/>
      <c r="J22" s="288"/>
      <c r="K22" s="288"/>
      <c r="L22" s="288"/>
      <c r="M22" s="288"/>
      <c r="N22" s="288"/>
      <c r="O22" s="288"/>
      <c r="P22" s="288"/>
      <c r="Q22" s="289"/>
      <c r="R22" s="179"/>
      <c r="S22" s="238" t="s">
        <v>161</v>
      </c>
      <c r="T22" s="239"/>
      <c r="U22" s="191" t="s">
        <v>27</v>
      </c>
      <c r="V22" s="188">
        <v>0</v>
      </c>
      <c r="W22" s="170"/>
      <c r="X22" s="170"/>
    </row>
    <row r="23" spans="1:25" ht="15.75" customHeight="1">
      <c r="A23" s="155"/>
      <c r="B23" s="160">
        <v>8.625</v>
      </c>
      <c r="C23" s="195">
        <v>103.53125</v>
      </c>
      <c r="D23" s="195">
        <v>103.03125</v>
      </c>
      <c r="E23" s="195">
        <v>100.15</v>
      </c>
      <c r="F23" s="161"/>
      <c r="G23" s="243" t="s">
        <v>148</v>
      </c>
      <c r="H23" s="244"/>
      <c r="I23" s="197">
        <v>0</v>
      </c>
      <c r="J23" s="197">
        <v>0</v>
      </c>
      <c r="K23" s="197">
        <v>0</v>
      </c>
      <c r="L23" s="197">
        <v>0</v>
      </c>
      <c r="M23" s="197">
        <v>0</v>
      </c>
      <c r="N23" s="197">
        <v>0</v>
      </c>
      <c r="O23" s="197">
        <v>0</v>
      </c>
      <c r="P23" s="197">
        <v>0</v>
      </c>
      <c r="Q23" s="203">
        <v>0</v>
      </c>
      <c r="R23" s="161"/>
      <c r="S23" s="238" t="s">
        <v>162</v>
      </c>
      <c r="T23" s="239"/>
      <c r="U23" s="191" t="s">
        <v>180</v>
      </c>
      <c r="V23" s="188">
        <v>0</v>
      </c>
      <c r="W23" s="170"/>
      <c r="X23" s="170"/>
    </row>
    <row r="24" spans="1:25" ht="15.75" customHeight="1">
      <c r="A24" s="155"/>
      <c r="B24" s="160">
        <v>8.75</v>
      </c>
      <c r="C24" s="195">
        <v>103.84375</v>
      </c>
      <c r="D24" s="195">
        <v>103.34375</v>
      </c>
      <c r="E24" s="195">
        <v>100.4</v>
      </c>
      <c r="F24" s="161"/>
      <c r="G24" s="266" t="s">
        <v>149</v>
      </c>
      <c r="H24" s="267"/>
      <c r="I24" s="197">
        <v>-0.5</v>
      </c>
      <c r="J24" s="197">
        <v>-0.5</v>
      </c>
      <c r="K24" s="197">
        <v>-0.5</v>
      </c>
      <c r="L24" s="197">
        <v>-0.5</v>
      </c>
      <c r="M24" s="197">
        <v>-0.75</v>
      </c>
      <c r="N24" s="197">
        <v>-0.75</v>
      </c>
      <c r="O24" s="197">
        <v>-0.75</v>
      </c>
      <c r="P24" s="197">
        <v>-1</v>
      </c>
      <c r="Q24" s="203">
        <v>-1.25</v>
      </c>
      <c r="R24" s="161"/>
      <c r="S24" s="238" t="s">
        <v>14</v>
      </c>
      <c r="T24" s="239"/>
      <c r="U24" s="191" t="s">
        <v>15</v>
      </c>
      <c r="V24" s="188">
        <f>INDEX($D$57:$D$59,MATCH($U$24,$B$57:$B$59,0))</f>
        <v>0</v>
      </c>
      <c r="W24" s="170"/>
      <c r="X24" s="170"/>
    </row>
    <row r="25" spans="1:25" ht="15.75" customHeight="1" thickBot="1">
      <c r="A25" s="155"/>
      <c r="B25" s="160">
        <v>8.875</v>
      </c>
      <c r="C25" s="195">
        <v>104.15625</v>
      </c>
      <c r="D25" s="195">
        <v>103.65625</v>
      </c>
      <c r="E25" s="195">
        <v>100.65</v>
      </c>
      <c r="F25" s="161"/>
      <c r="G25" s="287" t="s">
        <v>279</v>
      </c>
      <c r="H25" s="288"/>
      <c r="I25" s="288"/>
      <c r="J25" s="288"/>
      <c r="K25" s="288"/>
      <c r="L25" s="288"/>
      <c r="M25" s="288"/>
      <c r="N25" s="288"/>
      <c r="O25" s="288"/>
      <c r="P25" s="288"/>
      <c r="Q25" s="289"/>
      <c r="R25" s="161"/>
      <c r="S25" s="238" t="str">
        <f>IF(V25=0,"","CES Special")</f>
        <v>CES Special</v>
      </c>
      <c r="T25" s="239"/>
      <c r="U25" s="192" t="str">
        <f>IF(V25=0,"Not Applicable","Yes")</f>
        <v>Yes</v>
      </c>
      <c r="V25" s="187" t="b">
        <f>'Feed(WS)'!B67</f>
        <v>0</v>
      </c>
      <c r="W25" s="170"/>
      <c r="X25" s="170"/>
    </row>
    <row r="26" spans="1:25" ht="15.75" customHeight="1" thickBot="1">
      <c r="A26" s="155"/>
      <c r="B26" s="160">
        <v>8.9990000000000006</v>
      </c>
      <c r="C26" s="195">
        <v>104.46875</v>
      </c>
      <c r="D26" s="195">
        <v>103.96875</v>
      </c>
      <c r="E26" s="195">
        <v>100.9</v>
      </c>
      <c r="F26" s="161"/>
      <c r="G26" s="243" t="s">
        <v>170</v>
      </c>
      <c r="H26" s="244"/>
      <c r="I26" s="197">
        <v>0.75</v>
      </c>
      <c r="J26" s="197">
        <v>0.5</v>
      </c>
      <c r="K26" s="197">
        <v>0.5</v>
      </c>
      <c r="L26" s="197">
        <v>0.5</v>
      </c>
      <c r="M26" s="197">
        <v>0.5</v>
      </c>
      <c r="N26" s="197">
        <v>0.5</v>
      </c>
      <c r="O26" s="197">
        <v>0.5</v>
      </c>
      <c r="P26" s="197" t="s">
        <v>307</v>
      </c>
      <c r="Q26" s="197" t="s">
        <v>307</v>
      </c>
      <c r="R26" s="161"/>
      <c r="S26" s="240" t="s">
        <v>16</v>
      </c>
      <c r="T26" s="241"/>
      <c r="U26" s="242"/>
      <c r="V26" s="202" t="e">
        <f>SUM(V11:V25)+X13</f>
        <v>#N/A</v>
      </c>
      <c r="W26" s="170"/>
      <c r="X26" s="170"/>
      <c r="Y26" t="s">
        <v>292</v>
      </c>
    </row>
    <row r="27" spans="1:25" ht="15.75" customHeight="1" thickBot="1">
      <c r="A27" s="155"/>
      <c r="B27" s="160">
        <v>9.125</v>
      </c>
      <c r="C27" s="195">
        <v>104.78125</v>
      </c>
      <c r="D27" s="195">
        <v>104.28125</v>
      </c>
      <c r="E27" s="195">
        <v>101.15</v>
      </c>
      <c r="F27" s="161"/>
      <c r="G27" s="243" t="s">
        <v>236</v>
      </c>
      <c r="H27" s="244"/>
      <c r="I27" s="197">
        <v>-0.5</v>
      </c>
      <c r="J27" s="197">
        <v>-0.75</v>
      </c>
      <c r="K27" s="197">
        <v>-0.75</v>
      </c>
      <c r="L27" s="197">
        <v>-0.75</v>
      </c>
      <c r="M27" s="197">
        <v>-0.75</v>
      </c>
      <c r="N27" s="197">
        <v>-0.75</v>
      </c>
      <c r="O27" s="197">
        <v>-0.75</v>
      </c>
      <c r="P27" s="197">
        <v>-1</v>
      </c>
      <c r="Q27" s="197">
        <v>-1</v>
      </c>
      <c r="R27" s="161"/>
      <c r="S27" s="245" t="s">
        <v>17</v>
      </c>
      <c r="T27" s="246"/>
      <c r="U27" s="247"/>
      <c r="V27" s="197" t="e">
        <f>INDEX(B11:E56,MATCH(U9,B11:B56,0),MATCH(IF(U13='Feed(WS)'!C3,'Feed(WS)'!C4,U13),C11:E11,0)+1)</f>
        <v>#N/A</v>
      </c>
      <c r="W27" s="170"/>
      <c r="X27" s="170"/>
    </row>
    <row r="28" spans="1:25" ht="15.75" customHeight="1" thickBot="1">
      <c r="A28" s="155"/>
      <c r="B28" s="160">
        <v>9.25</v>
      </c>
      <c r="C28" s="195">
        <v>105.09375</v>
      </c>
      <c r="D28" s="195">
        <v>104.59375</v>
      </c>
      <c r="E28" s="195">
        <v>101.4</v>
      </c>
      <c r="F28" s="161"/>
      <c r="G28" s="243" t="s">
        <v>189</v>
      </c>
      <c r="H28" s="244"/>
      <c r="I28" s="197">
        <v>-0.5</v>
      </c>
      <c r="J28" s="197">
        <v>-0.75</v>
      </c>
      <c r="K28" s="197">
        <v>-0.75</v>
      </c>
      <c r="L28" s="197">
        <v>-0.75</v>
      </c>
      <c r="M28" s="197">
        <v>-0.75</v>
      </c>
      <c r="N28" s="197">
        <v>-0.75</v>
      </c>
      <c r="O28" s="197">
        <v>-0.75</v>
      </c>
      <c r="P28" s="197">
        <v>-1</v>
      </c>
      <c r="Q28" s="197">
        <v>-1</v>
      </c>
      <c r="R28" s="161"/>
      <c r="S28" s="245" t="s">
        <v>19</v>
      </c>
      <c r="T28" s="246"/>
      <c r="U28" s="247"/>
      <c r="V28" s="197" t="str">
        <f>IFERROR(IF(AND(U9&lt;&gt;'Feed(WS)'!K137,V29=T59),NA(),V27+V26),"Minimum Rate")</f>
        <v>Minimum Rate</v>
      </c>
      <c r="W28" s="170"/>
      <c r="X28" s="170"/>
    </row>
    <row r="29" spans="1:25" ht="15.75" customHeight="1">
      <c r="A29" s="155"/>
      <c r="B29" s="160">
        <v>9.375</v>
      </c>
      <c r="C29" s="195">
        <v>105.375</v>
      </c>
      <c r="D29" s="195">
        <v>104.875</v>
      </c>
      <c r="E29" s="195">
        <v>101.65</v>
      </c>
      <c r="F29" s="161"/>
      <c r="G29" s="243" t="s">
        <v>190</v>
      </c>
      <c r="H29" s="244"/>
      <c r="I29" s="197">
        <v>-0.5</v>
      </c>
      <c r="J29" s="197">
        <v>-0.75</v>
      </c>
      <c r="K29" s="197">
        <v>-0.75</v>
      </c>
      <c r="L29" s="197">
        <v>-0.75</v>
      </c>
      <c r="M29" s="197">
        <v>-0.75</v>
      </c>
      <c r="N29" s="197">
        <v>-0.75</v>
      </c>
      <c r="O29" s="197">
        <v>-0.75</v>
      </c>
      <c r="P29" s="197">
        <v>-1</v>
      </c>
      <c r="Q29" s="197" t="s">
        <v>307</v>
      </c>
      <c r="R29" s="161"/>
      <c r="S29" s="253" t="s">
        <v>18</v>
      </c>
      <c r="T29" s="254"/>
      <c r="U29" s="255"/>
      <c r="V29" s="197">
        <f>'Feed(WS)'!E136</f>
        <v>0</v>
      </c>
      <c r="W29" s="170"/>
      <c r="X29" s="170"/>
    </row>
    <row r="30" spans="1:25" ht="15.75" customHeight="1">
      <c r="A30" s="155"/>
      <c r="B30" s="160">
        <v>9.4990000000000006</v>
      </c>
      <c r="C30" s="195">
        <v>105.65625</v>
      </c>
      <c r="D30" s="195">
        <v>105.15625</v>
      </c>
      <c r="E30" s="195">
        <v>101.9</v>
      </c>
      <c r="F30" s="161"/>
      <c r="G30" s="243" t="s">
        <v>191</v>
      </c>
      <c r="H30" s="244"/>
      <c r="I30" s="197">
        <v>-0.5</v>
      </c>
      <c r="J30" s="197">
        <v>-0.75</v>
      </c>
      <c r="K30" s="197">
        <v>-0.75</v>
      </c>
      <c r="L30" s="197">
        <v>-0.75</v>
      </c>
      <c r="M30" s="197">
        <v>-0.75</v>
      </c>
      <c r="N30" s="197">
        <v>-0.75</v>
      </c>
      <c r="O30" s="197">
        <v>-0.75</v>
      </c>
      <c r="P30" s="197">
        <v>-1</v>
      </c>
      <c r="Q30" s="197" t="s">
        <v>307</v>
      </c>
      <c r="R30" s="161"/>
      <c r="S30" s="256" t="s">
        <v>20</v>
      </c>
      <c r="T30" s="257"/>
      <c r="U30" s="258"/>
      <c r="V30" s="197" t="e">
        <f>IF(OR(V26="#NA",V27="#NA",V28="Minimum Rate"),NA(),IF(AND(IF(V28&gt;V29,V29,V28)&lt;'Feed(WS)'!E147,U21='Feed(WS)'!N5),NA(),IF(V28&gt;V29,V29,V28)))</f>
        <v>#N/A</v>
      </c>
      <c r="W30" s="170"/>
      <c r="X30" s="170"/>
    </row>
    <row r="31" spans="1:25" ht="15.75" customHeight="1" thickBot="1">
      <c r="A31" s="155"/>
      <c r="B31" s="160">
        <v>9.625</v>
      </c>
      <c r="C31" s="195">
        <v>105.9375</v>
      </c>
      <c r="D31" s="195">
        <v>105.4375</v>
      </c>
      <c r="E31" s="195">
        <v>102.15</v>
      </c>
      <c r="F31" s="161"/>
      <c r="G31" s="266" t="s">
        <v>192</v>
      </c>
      <c r="H31" s="267"/>
      <c r="I31" s="197">
        <v>-0.5</v>
      </c>
      <c r="J31" s="197">
        <v>-1</v>
      </c>
      <c r="K31" s="197">
        <v>-1</v>
      </c>
      <c r="L31" s="197">
        <v>-1</v>
      </c>
      <c r="M31" s="197">
        <v>-1</v>
      </c>
      <c r="N31" s="197">
        <v>-2</v>
      </c>
      <c r="O31" s="197" t="s">
        <v>307</v>
      </c>
      <c r="P31" s="197" t="s">
        <v>307</v>
      </c>
      <c r="Q31" s="197" t="s">
        <v>307</v>
      </c>
      <c r="R31" s="161"/>
      <c r="S31" s="261" t="s">
        <v>237</v>
      </c>
      <c r="T31" s="262"/>
      <c r="U31" s="263"/>
      <c r="V31" s="194"/>
      <c r="W31" s="170"/>
      <c r="X31" s="170"/>
    </row>
    <row r="32" spans="1:25" ht="15.75" customHeight="1" thickBot="1">
      <c r="A32" s="155"/>
      <c r="B32" s="160">
        <v>9.75</v>
      </c>
      <c r="C32" s="195">
        <v>106.125</v>
      </c>
      <c r="D32" s="195">
        <v>105.625</v>
      </c>
      <c r="E32" s="195">
        <v>102.4</v>
      </c>
      <c r="F32" s="161"/>
      <c r="G32" s="287" t="s">
        <v>9</v>
      </c>
      <c r="H32" s="288"/>
      <c r="I32" s="288"/>
      <c r="J32" s="288"/>
      <c r="K32" s="288"/>
      <c r="L32" s="288"/>
      <c r="M32" s="288"/>
      <c r="N32" s="288"/>
      <c r="O32" s="288"/>
      <c r="P32" s="288"/>
      <c r="Q32" s="289"/>
      <c r="R32" s="161"/>
      <c r="S32" s="245" t="s">
        <v>238</v>
      </c>
      <c r="T32" s="247"/>
      <c r="U32" s="231">
        <v>175000</v>
      </c>
      <c r="V32" s="198"/>
      <c r="W32" s="233" t="str" cm="1">
        <f t="array" ref="W32">IF(OR(U10:U24="Choose a Selection"),"",CONCATENATE('Feed(WS)'!I137," ",'Feed(WS)'!K137,"%"&amp;" @ "&amp;'Feed(WS)'!L137))</f>
        <v/>
      </c>
      <c r="X32" s="170"/>
    </row>
    <row r="33" spans="1:24" ht="15" customHeight="1" thickBot="1">
      <c r="A33" s="155"/>
      <c r="B33" s="160">
        <v>9.875</v>
      </c>
      <c r="C33" s="195">
        <v>106.3125</v>
      </c>
      <c r="D33" s="195">
        <v>105.8125</v>
      </c>
      <c r="E33" s="195">
        <v>102.65</v>
      </c>
      <c r="F33" s="161"/>
      <c r="G33" s="243" t="s">
        <v>301</v>
      </c>
      <c r="H33" s="244"/>
      <c r="I33" s="197">
        <v>-2.5</v>
      </c>
      <c r="J33" s="197">
        <v>-2.5</v>
      </c>
      <c r="K33" s="197">
        <v>-2.5</v>
      </c>
      <c r="L33" s="197">
        <v>-2.5</v>
      </c>
      <c r="M33" s="197">
        <v>-2.5</v>
      </c>
      <c r="N33" s="197">
        <v>-2.5</v>
      </c>
      <c r="O33" s="197">
        <v>-2.5</v>
      </c>
      <c r="P33" s="197">
        <v>-2.5</v>
      </c>
      <c r="Q33" s="197" t="s">
        <v>307</v>
      </c>
      <c r="R33" s="161"/>
      <c r="S33" s="245" t="s">
        <v>239</v>
      </c>
      <c r="T33" s="247"/>
      <c r="U33" s="215">
        <v>2.25</v>
      </c>
      <c r="V33" s="199">
        <f>U33/100*U32</f>
        <v>3937.5</v>
      </c>
      <c r="W33" s="232"/>
      <c r="X33" s="170"/>
    </row>
    <row r="34" spans="1:24" ht="15" customHeight="1" thickBot="1">
      <c r="A34" s="155"/>
      <c r="B34" s="160">
        <v>9.9990000000000006</v>
      </c>
      <c r="C34" s="195">
        <v>106.5</v>
      </c>
      <c r="D34" s="195">
        <v>106</v>
      </c>
      <c r="E34" s="195">
        <v>102.9</v>
      </c>
      <c r="F34" s="161"/>
      <c r="G34" s="243" t="s">
        <v>32</v>
      </c>
      <c r="H34" s="244"/>
      <c r="I34" s="197">
        <v>-1</v>
      </c>
      <c r="J34" s="197">
        <v>-1</v>
      </c>
      <c r="K34" s="197">
        <v>-1</v>
      </c>
      <c r="L34" s="197">
        <v>-1</v>
      </c>
      <c r="M34" s="197">
        <v>-1</v>
      </c>
      <c r="N34" s="197">
        <v>-1.25</v>
      </c>
      <c r="O34" s="197">
        <v>-1.5</v>
      </c>
      <c r="P34" s="197">
        <v>-1.5</v>
      </c>
      <c r="Q34" s="197" t="s">
        <v>307</v>
      </c>
      <c r="R34" s="161"/>
      <c r="S34" s="245" t="s">
        <v>240</v>
      </c>
      <c r="T34" s="247"/>
      <c r="U34" s="199">
        <v>100</v>
      </c>
      <c r="V34" s="216">
        <f>U34/U32*100</f>
        <v>5.7142857142857148E-2</v>
      </c>
      <c r="W34" s="170"/>
      <c r="X34" s="170"/>
    </row>
    <row r="35" spans="1:24" ht="15.75" customHeight="1">
      <c r="A35" s="155"/>
      <c r="B35" s="160">
        <v>10.125</v>
      </c>
      <c r="C35" s="195">
        <v>106.6875</v>
      </c>
      <c r="D35" s="195">
        <v>106.1875</v>
      </c>
      <c r="E35" s="195">
        <v>103.15</v>
      </c>
      <c r="F35" s="161"/>
      <c r="G35" s="287" t="s">
        <v>23</v>
      </c>
      <c r="H35" s="288"/>
      <c r="I35" s="288"/>
      <c r="J35" s="288"/>
      <c r="K35" s="288"/>
      <c r="L35" s="288"/>
      <c r="M35" s="288"/>
      <c r="N35" s="288"/>
      <c r="O35" s="288"/>
      <c r="P35" s="288"/>
      <c r="Q35" s="289"/>
      <c r="R35" s="161"/>
      <c r="S35" s="253" t="s">
        <v>241</v>
      </c>
      <c r="T35" s="255"/>
      <c r="U35" s="217">
        <f>U33+V34</f>
        <v>2.3071428571428569</v>
      </c>
      <c r="V35" s="217"/>
      <c r="W35" s="170"/>
      <c r="X35" s="170"/>
    </row>
    <row r="36" spans="1:24" ht="15.75" thickBot="1">
      <c r="A36" s="155"/>
      <c r="B36" s="160">
        <v>10.25</v>
      </c>
      <c r="C36" s="195">
        <v>106.875</v>
      </c>
      <c r="D36" s="195">
        <v>106.375</v>
      </c>
      <c r="E36" s="195">
        <v>103.4</v>
      </c>
      <c r="F36" s="161"/>
      <c r="G36" s="243" t="s">
        <v>185</v>
      </c>
      <c r="H36" s="244"/>
      <c r="I36" s="197">
        <v>-0.25</v>
      </c>
      <c r="J36" s="197">
        <v>-0.25</v>
      </c>
      <c r="K36" s="197">
        <v>-0.25</v>
      </c>
      <c r="L36" s="197">
        <v>-0.25</v>
      </c>
      <c r="M36" s="197">
        <v>-0.25</v>
      </c>
      <c r="N36" s="197">
        <v>-0.25</v>
      </c>
      <c r="O36" s="197">
        <v>-0.25</v>
      </c>
      <c r="P36" s="197">
        <v>-0.5</v>
      </c>
      <c r="Q36" s="197">
        <v>-1</v>
      </c>
      <c r="R36" s="161"/>
      <c r="S36" s="259" t="s">
        <v>242</v>
      </c>
      <c r="T36" s="260"/>
      <c r="U36" s="236" t="e">
        <f>V30-U35</f>
        <v>#N/A</v>
      </c>
      <c r="V36" s="237"/>
      <c r="W36" s="170"/>
      <c r="X36" s="170"/>
    </row>
    <row r="37" spans="1:24" ht="14.25" customHeight="1">
      <c r="A37" s="155"/>
      <c r="B37" s="160">
        <v>10.375</v>
      </c>
      <c r="C37" s="195">
        <v>107.0625</v>
      </c>
      <c r="D37" s="195">
        <v>106.5625</v>
      </c>
      <c r="E37" s="195">
        <v>103.65</v>
      </c>
      <c r="F37" s="161"/>
      <c r="G37" s="243" t="s">
        <v>144</v>
      </c>
      <c r="H37" s="244"/>
      <c r="I37" s="197">
        <v>0.25</v>
      </c>
      <c r="J37" s="197">
        <v>0.25</v>
      </c>
      <c r="K37" s="197">
        <v>0.25</v>
      </c>
      <c r="L37" s="197">
        <v>0.25</v>
      </c>
      <c r="M37" s="197">
        <v>0.25</v>
      </c>
      <c r="N37" s="197">
        <v>0.25</v>
      </c>
      <c r="O37" s="197">
        <v>0.25</v>
      </c>
      <c r="P37" s="197">
        <v>0</v>
      </c>
      <c r="Q37" s="197">
        <v>0</v>
      </c>
      <c r="R37" s="161"/>
      <c r="S37" s="234" t="s">
        <v>302</v>
      </c>
      <c r="T37" s="234"/>
      <c r="U37" s="234"/>
      <c r="V37" s="234"/>
      <c r="W37" s="170"/>
      <c r="X37" s="170"/>
    </row>
    <row r="38" spans="1:24" ht="14.25" customHeight="1">
      <c r="A38" s="155"/>
      <c r="B38" s="160">
        <v>10.499000000000001</v>
      </c>
      <c r="C38" s="195">
        <v>107.25</v>
      </c>
      <c r="D38" s="195">
        <v>106.75</v>
      </c>
      <c r="E38" s="195">
        <v>104.15</v>
      </c>
      <c r="F38" s="161"/>
      <c r="G38" s="243" t="s">
        <v>145</v>
      </c>
      <c r="H38" s="244"/>
      <c r="I38" s="197">
        <v>0.375</v>
      </c>
      <c r="J38" s="197">
        <v>0.375</v>
      </c>
      <c r="K38" s="197">
        <v>0.375</v>
      </c>
      <c r="L38" s="197">
        <v>0.375</v>
      </c>
      <c r="M38" s="197">
        <v>0.375</v>
      </c>
      <c r="N38" s="197">
        <v>0.375</v>
      </c>
      <c r="O38" s="197">
        <v>0.375</v>
      </c>
      <c r="P38" s="197">
        <v>0.375</v>
      </c>
      <c r="Q38" s="197">
        <v>0.375</v>
      </c>
      <c r="R38" s="180"/>
      <c r="S38" s="235"/>
      <c r="T38" s="235"/>
      <c r="U38" s="235"/>
      <c r="V38" s="235"/>
      <c r="W38" s="170"/>
      <c r="X38" s="170"/>
    </row>
    <row r="39" spans="1:24" ht="15.75" customHeight="1">
      <c r="A39" s="155"/>
      <c r="B39" s="160">
        <v>10.625</v>
      </c>
      <c r="C39" s="195">
        <v>107.4375</v>
      </c>
      <c r="D39" s="195">
        <v>106.9375</v>
      </c>
      <c r="E39" s="195">
        <v>104.65</v>
      </c>
      <c r="F39" s="161"/>
      <c r="G39" s="243" t="s">
        <v>155</v>
      </c>
      <c r="H39" s="244"/>
      <c r="I39" s="197">
        <v>0.5</v>
      </c>
      <c r="J39" s="197">
        <v>0.5</v>
      </c>
      <c r="K39" s="197">
        <v>0.5</v>
      </c>
      <c r="L39" s="197">
        <v>0.5</v>
      </c>
      <c r="M39" s="197">
        <v>0.5</v>
      </c>
      <c r="N39" s="197">
        <v>0.5</v>
      </c>
      <c r="O39" s="197">
        <v>0.5</v>
      </c>
      <c r="P39" s="197">
        <v>0.5</v>
      </c>
      <c r="Q39" s="197">
        <v>0.5</v>
      </c>
      <c r="R39" s="161"/>
      <c r="S39" s="235"/>
      <c r="T39" s="235"/>
      <c r="U39" s="235"/>
      <c r="V39" s="235"/>
      <c r="W39" s="170"/>
      <c r="X39" s="170"/>
    </row>
    <row r="40" spans="1:24" ht="14.25" customHeight="1" thickBot="1">
      <c r="A40" s="155"/>
      <c r="B40" s="160">
        <v>10.75</v>
      </c>
      <c r="C40" s="195">
        <v>107.625</v>
      </c>
      <c r="D40" s="195">
        <v>107.125</v>
      </c>
      <c r="E40" s="195">
        <v>105.15</v>
      </c>
      <c r="F40" s="161"/>
      <c r="G40" s="243" t="s">
        <v>156</v>
      </c>
      <c r="H40" s="244"/>
      <c r="I40" s="197">
        <v>0.5</v>
      </c>
      <c r="J40" s="197">
        <v>0.5</v>
      </c>
      <c r="K40" s="197">
        <v>0.5</v>
      </c>
      <c r="L40" s="197">
        <v>0.5</v>
      </c>
      <c r="M40" s="197">
        <v>0.5</v>
      </c>
      <c r="N40" s="197">
        <v>0.5</v>
      </c>
      <c r="O40" s="197">
        <v>0.5</v>
      </c>
      <c r="P40" s="197">
        <v>0.5</v>
      </c>
      <c r="Q40" s="197">
        <v>0.5</v>
      </c>
      <c r="R40" s="161"/>
      <c r="S40" s="277"/>
      <c r="T40" s="277"/>
      <c r="U40" s="277"/>
      <c r="V40" s="277"/>
      <c r="W40" s="170"/>
      <c r="X40" s="170"/>
    </row>
    <row r="41" spans="1:24" ht="15.75" customHeight="1">
      <c r="A41" s="155"/>
      <c r="B41" s="160">
        <v>10.875</v>
      </c>
      <c r="C41" s="195">
        <v>107.8125</v>
      </c>
      <c r="D41" s="195">
        <v>107.3125</v>
      </c>
      <c r="E41" s="195">
        <v>105.65</v>
      </c>
      <c r="F41" s="161"/>
      <c r="G41" s="243" t="s">
        <v>187</v>
      </c>
      <c r="H41" s="244"/>
      <c r="I41" s="197">
        <v>0</v>
      </c>
      <c r="J41" s="197">
        <v>0</v>
      </c>
      <c r="K41" s="197">
        <v>0</v>
      </c>
      <c r="L41" s="197">
        <v>0</v>
      </c>
      <c r="M41" s="197">
        <v>0</v>
      </c>
      <c r="N41" s="197">
        <v>0</v>
      </c>
      <c r="O41" s="197">
        <v>0</v>
      </c>
      <c r="P41" s="197">
        <v>0</v>
      </c>
      <c r="Q41" s="197">
        <v>0</v>
      </c>
      <c r="R41" s="161"/>
      <c r="S41" s="234" t="s">
        <v>122</v>
      </c>
      <c r="T41" s="234"/>
      <c r="U41" s="234"/>
      <c r="V41" s="234"/>
      <c r="W41" s="170"/>
      <c r="X41" s="161"/>
    </row>
    <row r="42" spans="1:24" ht="14.25" customHeight="1">
      <c r="A42" s="155"/>
      <c r="B42" s="160">
        <v>10.999000000000001</v>
      </c>
      <c r="C42" s="195">
        <v>108</v>
      </c>
      <c r="D42" s="195">
        <v>107.5</v>
      </c>
      <c r="E42" s="195">
        <v>105.9</v>
      </c>
      <c r="F42" s="161"/>
      <c r="G42" s="287" t="s">
        <v>280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9"/>
      <c r="R42" s="161"/>
      <c r="S42" s="235"/>
      <c r="T42" s="235"/>
      <c r="U42" s="235"/>
      <c r="V42" s="235"/>
      <c r="W42" s="170"/>
      <c r="X42" s="161"/>
    </row>
    <row r="43" spans="1:24" ht="14.25" customHeight="1">
      <c r="A43" s="155"/>
      <c r="B43" s="160">
        <v>11.125</v>
      </c>
      <c r="C43" s="195">
        <v>108.1875</v>
      </c>
      <c r="D43" s="195">
        <v>107.6875</v>
      </c>
      <c r="E43" s="195">
        <v>106.15</v>
      </c>
      <c r="F43" s="161"/>
      <c r="G43" s="290" t="s">
        <v>142</v>
      </c>
      <c r="H43" s="291"/>
      <c r="I43" s="197">
        <v>0</v>
      </c>
      <c r="J43" s="197">
        <v>0</v>
      </c>
      <c r="K43" s="197">
        <v>0</v>
      </c>
      <c r="L43" s="197">
        <v>0</v>
      </c>
      <c r="M43" s="197">
        <v>0</v>
      </c>
      <c r="N43" s="197">
        <v>0</v>
      </c>
      <c r="O43" s="197">
        <v>0</v>
      </c>
      <c r="P43" s="197">
        <v>0</v>
      </c>
      <c r="Q43" s="203">
        <v>0</v>
      </c>
      <c r="R43" s="161"/>
      <c r="S43" s="235"/>
      <c r="T43" s="235"/>
      <c r="U43" s="235"/>
      <c r="V43" s="235"/>
      <c r="W43" s="170"/>
      <c r="X43" s="161"/>
    </row>
    <row r="44" spans="1:24" ht="14.25" customHeight="1">
      <c r="A44" s="155"/>
      <c r="B44" s="160">
        <v>11.25</v>
      </c>
      <c r="C44" s="195">
        <v>108.375</v>
      </c>
      <c r="D44" s="195">
        <v>107.875</v>
      </c>
      <c r="E44" s="195">
        <v>106.4</v>
      </c>
      <c r="F44" s="161"/>
      <c r="G44" s="290" t="s">
        <v>143</v>
      </c>
      <c r="H44" s="291"/>
      <c r="I44" s="197">
        <v>-0.25</v>
      </c>
      <c r="J44" s="197">
        <v>-0.25</v>
      </c>
      <c r="K44" s="197">
        <v>-0.25</v>
      </c>
      <c r="L44" s="197">
        <v>-0.25</v>
      </c>
      <c r="M44" s="197">
        <v>-0.25</v>
      </c>
      <c r="N44" s="197">
        <v>-0.5</v>
      </c>
      <c r="O44" s="197">
        <v>-0.5</v>
      </c>
      <c r="P44" s="197">
        <v>-0.75</v>
      </c>
      <c r="Q44" s="203">
        <v>-0.75</v>
      </c>
      <c r="R44" s="181"/>
      <c r="S44" s="170"/>
      <c r="T44" s="170"/>
      <c r="U44" s="170"/>
      <c r="V44" s="170"/>
      <c r="W44" s="170"/>
      <c r="X44" s="161"/>
    </row>
    <row r="45" spans="1:24" ht="15.75" customHeight="1">
      <c r="A45" s="155"/>
      <c r="B45" s="160">
        <v>11.375</v>
      </c>
      <c r="C45" s="195">
        <v>108.5625</v>
      </c>
      <c r="D45" s="195">
        <v>108.0625</v>
      </c>
      <c r="E45" s="195">
        <v>106.65</v>
      </c>
      <c r="F45" s="161"/>
      <c r="G45" s="290" t="s">
        <v>184</v>
      </c>
      <c r="H45" s="291"/>
      <c r="I45" s="197">
        <v>-0.5</v>
      </c>
      <c r="J45" s="197">
        <v>-0.5</v>
      </c>
      <c r="K45" s="197">
        <v>-0.5</v>
      </c>
      <c r="L45" s="197">
        <v>-0.5</v>
      </c>
      <c r="M45" s="197">
        <v>-0.5</v>
      </c>
      <c r="N45" s="197">
        <v>-1</v>
      </c>
      <c r="O45" s="197">
        <v>-1</v>
      </c>
      <c r="P45" s="197" t="s">
        <v>307</v>
      </c>
      <c r="Q45" s="203" t="s">
        <v>307</v>
      </c>
      <c r="R45" s="161"/>
      <c r="S45" s="170"/>
      <c r="T45" s="170"/>
      <c r="U45" s="170"/>
      <c r="V45" s="170"/>
      <c r="W45" s="170"/>
      <c r="X45" s="161"/>
    </row>
    <row r="46" spans="1:24" ht="15.75" customHeight="1">
      <c r="A46" s="155"/>
      <c r="B46" s="160">
        <v>11.499000000000001</v>
      </c>
      <c r="C46" s="195">
        <v>108.75</v>
      </c>
      <c r="D46" s="195">
        <v>108.25</v>
      </c>
      <c r="E46" s="195">
        <v>106.9</v>
      </c>
      <c r="F46" s="161"/>
      <c r="G46" s="287" t="s">
        <v>281</v>
      </c>
      <c r="H46" s="288"/>
      <c r="I46" s="288"/>
      <c r="J46" s="288"/>
      <c r="K46" s="288"/>
      <c r="L46" s="288"/>
      <c r="M46" s="288"/>
      <c r="N46" s="288"/>
      <c r="O46" s="288"/>
      <c r="P46" s="288"/>
      <c r="Q46" s="289"/>
      <c r="R46" s="161"/>
      <c r="S46" s="170"/>
      <c r="T46" s="170"/>
      <c r="U46" s="170"/>
      <c r="V46" s="170"/>
      <c r="W46" s="170"/>
      <c r="X46" s="161"/>
    </row>
    <row r="47" spans="1:24" ht="15" customHeight="1">
      <c r="A47" s="155"/>
      <c r="B47" s="160">
        <v>11.625</v>
      </c>
      <c r="C47" s="195">
        <v>108.9375</v>
      </c>
      <c r="D47" s="195">
        <v>108.4375</v>
      </c>
      <c r="E47" s="195">
        <v>107.15</v>
      </c>
      <c r="F47" s="161"/>
      <c r="G47" s="290" t="s">
        <v>193</v>
      </c>
      <c r="H47" s="291"/>
      <c r="I47" s="197">
        <v>-3</v>
      </c>
      <c r="J47" s="197">
        <v>-3</v>
      </c>
      <c r="K47" s="197">
        <v>-3</v>
      </c>
      <c r="L47" s="197">
        <v>-3</v>
      </c>
      <c r="M47" s="197">
        <v>-3.5</v>
      </c>
      <c r="N47" s="197">
        <v>-3.5</v>
      </c>
      <c r="O47" s="197" t="s">
        <v>307</v>
      </c>
      <c r="P47" s="197" t="s">
        <v>307</v>
      </c>
      <c r="Q47" s="203" t="s">
        <v>307</v>
      </c>
      <c r="R47" s="161"/>
      <c r="S47" s="170"/>
      <c r="T47" s="170"/>
      <c r="U47" s="170"/>
      <c r="V47" s="170"/>
      <c r="W47" s="170"/>
      <c r="X47" s="161"/>
    </row>
    <row r="48" spans="1:24" ht="13.5" customHeight="1">
      <c r="A48" s="155"/>
      <c r="B48" s="160">
        <v>11.75</v>
      </c>
      <c r="C48" s="195">
        <v>109.125</v>
      </c>
      <c r="D48" s="195">
        <v>108.625</v>
      </c>
      <c r="E48" s="195">
        <v>107.4</v>
      </c>
      <c r="F48" s="161"/>
      <c r="G48" s="290" t="s">
        <v>291</v>
      </c>
      <c r="H48" s="291"/>
      <c r="I48" s="197">
        <v>-1.5</v>
      </c>
      <c r="J48" s="197">
        <v>-1.5</v>
      </c>
      <c r="K48" s="197">
        <v>-1.5</v>
      </c>
      <c r="L48" s="197">
        <v>-1.5</v>
      </c>
      <c r="M48" s="197">
        <v>-1.5</v>
      </c>
      <c r="N48" s="197">
        <v>-1.5</v>
      </c>
      <c r="O48" s="197" t="s">
        <v>307</v>
      </c>
      <c r="P48" s="197" t="s">
        <v>307</v>
      </c>
      <c r="Q48" s="203" t="s">
        <v>307</v>
      </c>
      <c r="R48" s="161"/>
      <c r="S48" s="170"/>
      <c r="T48" s="170"/>
      <c r="U48" s="170"/>
      <c r="V48" s="170"/>
      <c r="W48" s="170"/>
      <c r="X48" s="161"/>
    </row>
    <row r="49" spans="1:38" ht="15.75" customHeight="1">
      <c r="A49" s="155"/>
      <c r="B49" s="160">
        <v>11.875</v>
      </c>
      <c r="C49" s="195">
        <v>109.3125</v>
      </c>
      <c r="D49" s="195">
        <v>108.8125</v>
      </c>
      <c r="E49" s="195">
        <v>107.65</v>
      </c>
      <c r="F49" s="161"/>
      <c r="G49" s="287" t="s">
        <v>282</v>
      </c>
      <c r="H49" s="288"/>
      <c r="I49" s="288"/>
      <c r="J49" s="288"/>
      <c r="K49" s="288"/>
      <c r="L49" s="288"/>
      <c r="M49" s="288"/>
      <c r="N49" s="288"/>
      <c r="O49" s="288"/>
      <c r="P49" s="288"/>
      <c r="Q49" s="289"/>
      <c r="R49" s="161"/>
      <c r="S49" s="170"/>
      <c r="T49" s="170"/>
      <c r="U49" s="170"/>
      <c r="V49" s="170"/>
      <c r="W49" s="170"/>
      <c r="X49" s="161"/>
    </row>
    <row r="50" spans="1:38" ht="15" customHeight="1">
      <c r="A50" s="155"/>
      <c r="B50" s="160">
        <v>11.999000000000001</v>
      </c>
      <c r="C50" s="195">
        <v>109.5</v>
      </c>
      <c r="D50" s="195">
        <v>109</v>
      </c>
      <c r="E50" s="195">
        <v>107.9</v>
      </c>
      <c r="F50" s="161"/>
      <c r="G50" s="243" t="s">
        <v>297</v>
      </c>
      <c r="H50" s="244"/>
      <c r="I50" s="197">
        <v>-0.125</v>
      </c>
      <c r="J50" s="197">
        <v>-0.125</v>
      </c>
      <c r="K50" s="197">
        <v>-0.125</v>
      </c>
      <c r="L50" s="197">
        <v>-0.25</v>
      </c>
      <c r="M50" s="197">
        <v>-0.25</v>
      </c>
      <c r="N50" s="197">
        <v>-0.25</v>
      </c>
      <c r="O50" s="197" t="s">
        <v>307</v>
      </c>
      <c r="P50" s="197" t="s">
        <v>307</v>
      </c>
      <c r="Q50" s="203" t="s">
        <v>307</v>
      </c>
      <c r="R50" s="161"/>
      <c r="S50" s="170"/>
      <c r="T50" s="170"/>
      <c r="U50" s="170"/>
      <c r="V50" s="170"/>
      <c r="W50" s="170"/>
      <c r="X50" s="161"/>
    </row>
    <row r="51" spans="1:38" s="48" customFormat="1" ht="15.75" customHeight="1">
      <c r="A51" s="155"/>
      <c r="B51" s="160">
        <v>12.125</v>
      </c>
      <c r="C51" s="195">
        <v>109.6875</v>
      </c>
      <c r="D51" s="195">
        <v>109.1875</v>
      </c>
      <c r="E51" s="195">
        <v>108.15</v>
      </c>
      <c r="F51" s="161"/>
      <c r="G51" s="243" t="s">
        <v>298</v>
      </c>
      <c r="H51" s="244"/>
      <c r="I51" s="197">
        <v>-0.5</v>
      </c>
      <c r="J51" s="197">
        <v>-0.5</v>
      </c>
      <c r="K51" s="197">
        <v>-0.5</v>
      </c>
      <c r="L51" s="197">
        <v>-1</v>
      </c>
      <c r="M51" s="197">
        <v>-1</v>
      </c>
      <c r="N51" s="197">
        <v>-1</v>
      </c>
      <c r="O51" s="197" t="s">
        <v>307</v>
      </c>
      <c r="P51" s="197" t="s">
        <v>307</v>
      </c>
      <c r="Q51" s="203" t="s">
        <v>307</v>
      </c>
      <c r="R51" s="161"/>
      <c r="S51" s="170"/>
      <c r="T51" s="170"/>
      <c r="U51" s="170"/>
      <c r="V51" s="170"/>
      <c r="W51" s="170"/>
      <c r="X51" s="185"/>
      <c r="Y51"/>
      <c r="Z51"/>
      <c r="AA51"/>
      <c r="AB51"/>
      <c r="AC51"/>
      <c r="AD51"/>
      <c r="AE51"/>
      <c r="AF51"/>
      <c r="AG51"/>
    </row>
    <row r="52" spans="1:38" s="48" customFormat="1" ht="15.75" customHeight="1" thickBot="1">
      <c r="A52" s="161"/>
      <c r="B52" s="297"/>
      <c r="C52" s="298"/>
      <c r="D52" s="298"/>
      <c r="E52" s="298"/>
      <c r="F52" s="170"/>
      <c r="G52" s="243" t="s">
        <v>299</v>
      </c>
      <c r="H52" s="244"/>
      <c r="I52" s="197">
        <v>0</v>
      </c>
      <c r="J52" s="197">
        <v>-0.125</v>
      </c>
      <c r="K52" s="197">
        <v>-0.125</v>
      </c>
      <c r="L52" s="197">
        <v>-0.25</v>
      </c>
      <c r="M52" s="197">
        <v>-0.25</v>
      </c>
      <c r="N52" s="197">
        <v>-0.5</v>
      </c>
      <c r="O52" s="197">
        <v>-0.5</v>
      </c>
      <c r="P52" s="197" t="s">
        <v>307</v>
      </c>
      <c r="Q52" s="203" t="s">
        <v>307</v>
      </c>
      <c r="R52" s="161"/>
      <c r="S52" s="170"/>
      <c r="T52" s="170"/>
      <c r="U52" s="170"/>
      <c r="V52" s="170"/>
      <c r="W52" s="170"/>
      <c r="X52" s="186"/>
      <c r="Y52"/>
      <c r="Z52"/>
      <c r="AA52"/>
      <c r="AB52"/>
      <c r="AC52"/>
      <c r="AD52"/>
      <c r="AE52"/>
      <c r="AF52"/>
      <c r="AG52"/>
    </row>
    <row r="53" spans="1:38" s="48" customFormat="1" ht="15.75" customHeight="1" thickBot="1">
      <c r="A53" s="161"/>
      <c r="B53" s="299"/>
      <c r="C53" s="300"/>
      <c r="D53" s="300"/>
      <c r="E53" s="300"/>
      <c r="F53" s="161"/>
      <c r="G53" s="301"/>
      <c r="H53" s="302"/>
      <c r="I53" s="302"/>
      <c r="J53" s="302"/>
      <c r="K53" s="302"/>
      <c r="L53" s="302"/>
      <c r="M53" s="302"/>
      <c r="N53" s="302"/>
      <c r="O53" s="302"/>
      <c r="P53" s="302"/>
      <c r="Q53" s="305"/>
      <c r="R53" s="161"/>
      <c r="S53" s="170"/>
      <c r="T53" s="170"/>
      <c r="U53" s="170"/>
      <c r="V53" s="170"/>
      <c r="W53" s="170"/>
      <c r="X53" s="186"/>
      <c r="Y53"/>
      <c r="Z53"/>
      <c r="AA53"/>
      <c r="AB53"/>
      <c r="AC53"/>
      <c r="AD53"/>
      <c r="AE53"/>
      <c r="AF53"/>
      <c r="AG53"/>
    </row>
    <row r="54" spans="1:38" s="48" customFormat="1" ht="20.25" customHeight="1">
      <c r="A54" s="161"/>
      <c r="B54" s="301"/>
      <c r="C54" s="302"/>
      <c r="D54" s="302"/>
      <c r="E54" s="302"/>
      <c r="F54" s="161"/>
      <c r="G54" s="303"/>
      <c r="H54" s="304"/>
      <c r="I54" s="304"/>
      <c r="J54" s="304"/>
      <c r="K54" s="304"/>
      <c r="L54" s="304"/>
      <c r="M54" s="304"/>
      <c r="N54" s="304"/>
      <c r="O54" s="304"/>
      <c r="P54" s="304"/>
      <c r="Q54" s="306"/>
      <c r="R54" s="161"/>
      <c r="S54" s="170"/>
      <c r="T54" s="170"/>
      <c r="U54" s="170"/>
      <c r="V54" s="170"/>
      <c r="W54" s="170"/>
      <c r="X54" s="186"/>
      <c r="Y54"/>
      <c r="Z54"/>
      <c r="AA54"/>
      <c r="AB54"/>
      <c r="AC54"/>
      <c r="AD54"/>
      <c r="AE54"/>
      <c r="AF54"/>
      <c r="AG54"/>
      <c r="AJ54" s="59"/>
      <c r="AK54" s="59"/>
      <c r="AL54" s="59"/>
    </row>
    <row r="55" spans="1:38" s="48" customFormat="1" ht="15.75" customHeight="1">
      <c r="A55" s="161"/>
      <c r="B55" s="303"/>
      <c r="C55" s="304"/>
      <c r="D55" s="304"/>
      <c r="E55" s="304"/>
      <c r="F55" s="17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70"/>
      <c r="T55" s="170"/>
      <c r="U55" s="170"/>
      <c r="V55" s="170"/>
      <c r="W55" s="170"/>
      <c r="X55" s="170"/>
      <c r="Y55"/>
      <c r="Z55"/>
      <c r="AA55"/>
      <c r="AB55"/>
      <c r="AC55"/>
      <c r="AD55"/>
      <c r="AE55"/>
      <c r="AF55"/>
      <c r="AG55"/>
      <c r="AJ55" s="59"/>
      <c r="AK55" s="59"/>
      <c r="AL55" s="59"/>
    </row>
    <row r="56" spans="1:38" ht="15.75" customHeight="1">
      <c r="A56" s="161"/>
      <c r="B56" s="256" t="s">
        <v>288</v>
      </c>
      <c r="C56" s="257"/>
      <c r="D56" s="257" t="s">
        <v>290</v>
      </c>
      <c r="E56" s="257"/>
      <c r="F56" s="161"/>
      <c r="G56" s="287" t="s">
        <v>283</v>
      </c>
      <c r="H56" s="288"/>
      <c r="I56" s="288"/>
      <c r="J56" s="288"/>
      <c r="K56" s="288"/>
      <c r="L56" s="288"/>
      <c r="M56" s="288"/>
      <c r="N56" s="288"/>
      <c r="O56" s="288"/>
      <c r="P56" s="288"/>
      <c r="Q56" s="289"/>
      <c r="R56" s="161"/>
      <c r="S56" s="170"/>
      <c r="T56" s="250" t="s">
        <v>308</v>
      </c>
      <c r="U56" s="251"/>
      <c r="V56" s="219" t="s">
        <v>11</v>
      </c>
      <c r="W56" s="220" t="s">
        <v>11</v>
      </c>
      <c r="X56" s="186"/>
      <c r="AH56" s="48"/>
      <c r="AI56" s="48"/>
    </row>
    <row r="57" spans="1:38" ht="15.75" customHeight="1">
      <c r="A57" s="161"/>
      <c r="B57" s="294" t="s">
        <v>30</v>
      </c>
      <c r="C57" s="294"/>
      <c r="D57" s="292">
        <v>0</v>
      </c>
      <c r="E57" s="292"/>
      <c r="F57" s="172"/>
      <c r="G57" s="293" t="s">
        <v>284</v>
      </c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161"/>
      <c r="S57" s="170"/>
      <c r="T57" s="193" t="s">
        <v>308</v>
      </c>
      <c r="U57" s="205">
        <v>102</v>
      </c>
      <c r="V57" s="204" t="s">
        <v>36</v>
      </c>
      <c r="W57" s="205">
        <v>0</v>
      </c>
      <c r="X57" s="186"/>
      <c r="AH57" s="48"/>
      <c r="AI57" s="48"/>
    </row>
    <row r="58" spans="1:38" ht="15.75" customHeight="1">
      <c r="A58" s="161"/>
      <c r="B58" s="294" t="s">
        <v>15</v>
      </c>
      <c r="C58" s="294"/>
      <c r="D58" s="292">
        <v>0</v>
      </c>
      <c r="E58" s="292"/>
      <c r="F58" s="16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161"/>
      <c r="S58" s="170"/>
      <c r="T58" s="193" t="s">
        <v>309</v>
      </c>
      <c r="U58" s="205">
        <v>12.25</v>
      </c>
      <c r="V58" s="204" t="s">
        <v>150</v>
      </c>
      <c r="W58" s="205">
        <v>0.125</v>
      </c>
      <c r="X58" s="186"/>
      <c r="AH58" s="48"/>
      <c r="AI58" s="48"/>
    </row>
    <row r="59" spans="1:38" ht="15.75" customHeight="1">
      <c r="A59" s="161"/>
      <c r="B59" s="294" t="s">
        <v>34</v>
      </c>
      <c r="C59" s="294"/>
      <c r="D59" s="292">
        <v>-0.5</v>
      </c>
      <c r="E59" s="292"/>
      <c r="F59" s="16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161"/>
      <c r="S59" s="170"/>
      <c r="T59" s="193" t="s">
        <v>310</v>
      </c>
      <c r="U59" s="205">
        <v>99.75</v>
      </c>
      <c r="V59" s="204" t="s">
        <v>151</v>
      </c>
      <c r="W59" s="205">
        <v>0.125</v>
      </c>
      <c r="X59" s="186"/>
    </row>
    <row r="60" spans="1:38" ht="15.75" customHeight="1">
      <c r="A60" s="161"/>
      <c r="B60" s="279"/>
      <c r="C60" s="250"/>
      <c r="D60" s="250"/>
      <c r="E60" s="250"/>
      <c r="F60" s="16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161"/>
      <c r="S60" s="170"/>
      <c r="T60" s="170"/>
      <c r="U60" s="170"/>
      <c r="V60" s="170"/>
      <c r="W60" s="170"/>
      <c r="X60" s="170"/>
    </row>
    <row r="61" spans="1:38" ht="15.75" customHeight="1">
      <c r="A61" s="161"/>
      <c r="B61" s="161"/>
      <c r="C61" s="161"/>
      <c r="D61" s="161"/>
      <c r="E61" s="161"/>
      <c r="F61" s="161"/>
      <c r="G61" s="287" t="s">
        <v>285</v>
      </c>
      <c r="H61" s="288"/>
      <c r="I61" s="288"/>
      <c r="J61" s="288"/>
      <c r="K61" s="288"/>
      <c r="L61" s="288"/>
      <c r="M61" s="288"/>
      <c r="N61" s="288"/>
      <c r="O61" s="288"/>
      <c r="P61" s="288"/>
      <c r="Q61" s="289"/>
      <c r="R61" s="161"/>
      <c r="S61" s="170"/>
      <c r="T61" s="170"/>
      <c r="U61" s="170"/>
      <c r="V61" s="170"/>
      <c r="W61" s="170"/>
      <c r="X61" s="170"/>
    </row>
    <row r="62" spans="1:38" ht="15.75" customHeight="1">
      <c r="A62" s="161"/>
      <c r="B62" s="161"/>
      <c r="C62" s="161"/>
      <c r="D62" s="161"/>
      <c r="E62" s="161"/>
      <c r="F62" s="161"/>
      <c r="G62" s="286" t="s">
        <v>169</v>
      </c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161"/>
      <c r="S62" s="170"/>
      <c r="T62" s="170"/>
      <c r="U62" s="170"/>
      <c r="V62" s="170"/>
      <c r="W62" s="170"/>
      <c r="X62" s="170"/>
    </row>
    <row r="63" spans="1:38" ht="15.75" customHeight="1">
      <c r="A63" s="161"/>
      <c r="B63" s="161"/>
      <c r="C63" s="161"/>
      <c r="D63" s="161"/>
      <c r="E63" s="161"/>
      <c r="F63" s="161"/>
      <c r="G63" s="286" t="s">
        <v>286</v>
      </c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161"/>
      <c r="S63" s="170"/>
      <c r="T63" s="170"/>
      <c r="U63" s="170"/>
      <c r="V63" s="170"/>
      <c r="W63" s="170"/>
      <c r="X63" s="170"/>
    </row>
    <row r="64" spans="1:38" ht="15.75" customHeight="1">
      <c r="A64" s="161"/>
      <c r="B64" s="161"/>
      <c r="C64" s="161"/>
      <c r="D64" s="161"/>
      <c r="E64" s="161"/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70"/>
      <c r="T64" s="170"/>
      <c r="U64" s="170"/>
      <c r="V64" s="170"/>
      <c r="W64" s="170"/>
      <c r="X64" s="170"/>
    </row>
    <row r="65" spans="1:39" ht="15" customHeight="1">
      <c r="A65" s="173"/>
      <c r="B65" s="175"/>
      <c r="C65" s="175"/>
      <c r="D65" s="175"/>
      <c r="E65" s="175"/>
      <c r="G65"/>
      <c r="H65"/>
      <c r="I65"/>
      <c r="S65"/>
      <c r="V65"/>
      <c r="W65"/>
      <c r="AH65"/>
      <c r="AI65"/>
      <c r="AJ65"/>
      <c r="AK65"/>
      <c r="AL65"/>
      <c r="AM65"/>
    </row>
    <row r="66" spans="1:39" ht="15" customHeight="1">
      <c r="B66"/>
      <c r="C66"/>
      <c r="D66"/>
      <c r="E66"/>
      <c r="F66" s="174"/>
      <c r="G66"/>
      <c r="H66"/>
      <c r="I66"/>
      <c r="J66"/>
      <c r="V66"/>
      <c r="W66"/>
      <c r="AH66"/>
      <c r="AI66"/>
      <c r="AJ66"/>
      <c r="AK66"/>
      <c r="AL66"/>
      <c r="AM66"/>
    </row>
    <row r="67" spans="1:39" ht="15.75" customHeight="1">
      <c r="B67"/>
      <c r="C67"/>
      <c r="D67"/>
      <c r="E67"/>
      <c r="F67" s="174"/>
      <c r="G67"/>
      <c r="H67"/>
      <c r="I67"/>
      <c r="J67"/>
      <c r="V67"/>
      <c r="W67"/>
      <c r="AH67"/>
      <c r="AI67"/>
      <c r="AJ67"/>
      <c r="AK67"/>
      <c r="AL67"/>
      <c r="AM67"/>
    </row>
    <row r="68" spans="1:39" ht="15" customHeight="1">
      <c r="B68"/>
      <c r="C68"/>
      <c r="D68"/>
      <c r="E68"/>
      <c r="F68" s="174"/>
      <c r="G68"/>
      <c r="H68"/>
      <c r="I68"/>
      <c r="J68"/>
      <c r="T68"/>
      <c r="U68"/>
      <c r="V68"/>
      <c r="W68"/>
      <c r="AH68"/>
      <c r="AI68"/>
      <c r="AJ68"/>
      <c r="AK68"/>
      <c r="AL68"/>
      <c r="AM68"/>
    </row>
    <row r="69" spans="1:39" ht="16.5" customHeight="1">
      <c r="F69" s="174"/>
      <c r="G69"/>
      <c r="H69"/>
      <c r="I69"/>
      <c r="J69"/>
      <c r="T69"/>
      <c r="U69"/>
      <c r="V69"/>
      <c r="W69"/>
      <c r="AH69"/>
      <c r="AI69"/>
      <c r="AJ69"/>
      <c r="AK69"/>
      <c r="AL69"/>
      <c r="AM69"/>
    </row>
    <row r="70" spans="1:39" ht="15" customHeight="1">
      <c r="B70"/>
      <c r="C70"/>
      <c r="D70"/>
      <c r="E70"/>
      <c r="F70" s="174"/>
      <c r="G70"/>
      <c r="H70"/>
      <c r="I70"/>
      <c r="J70"/>
      <c r="S70"/>
      <c r="T70"/>
      <c r="U70"/>
      <c r="V70"/>
      <c r="W70"/>
      <c r="AH70"/>
      <c r="AI70"/>
      <c r="AJ70"/>
      <c r="AK70"/>
      <c r="AL70"/>
      <c r="AM70"/>
    </row>
    <row r="71" spans="1:39" ht="16.5" customHeight="1">
      <c r="B71"/>
      <c r="C71"/>
      <c r="D71"/>
      <c r="E71"/>
      <c r="F71" s="174"/>
      <c r="G71"/>
      <c r="H71"/>
      <c r="I71"/>
      <c r="J71"/>
      <c r="S71"/>
      <c r="T71"/>
      <c r="U71"/>
      <c r="V71"/>
      <c r="W71"/>
      <c r="AH71"/>
      <c r="AI71"/>
      <c r="AJ71"/>
      <c r="AK71"/>
      <c r="AL71"/>
      <c r="AM71"/>
    </row>
    <row r="72" spans="1:39" ht="15" customHeight="1">
      <c r="B72"/>
      <c r="C72"/>
      <c r="D72"/>
      <c r="E72"/>
      <c r="F72" s="174"/>
      <c r="G72"/>
      <c r="H72"/>
      <c r="I72"/>
      <c r="J72"/>
      <c r="S72"/>
      <c r="T72"/>
      <c r="U72"/>
      <c r="V72"/>
      <c r="W72"/>
      <c r="AH72"/>
      <c r="AI72"/>
      <c r="AJ72"/>
      <c r="AK72"/>
      <c r="AL72"/>
      <c r="AM72"/>
    </row>
    <row r="73" spans="1:39" ht="15" customHeight="1">
      <c r="B73"/>
      <c r="C73"/>
      <c r="D73"/>
      <c r="E73"/>
      <c r="F73" s="174"/>
      <c r="G73"/>
      <c r="H73"/>
      <c r="I73"/>
      <c r="J73"/>
      <c r="S73"/>
      <c r="T73"/>
      <c r="U73"/>
      <c r="V73"/>
      <c r="W73"/>
      <c r="AH73"/>
      <c r="AI73"/>
      <c r="AJ73"/>
      <c r="AK73"/>
      <c r="AL73"/>
      <c r="AM73"/>
    </row>
    <row r="74" spans="1:39" ht="15" customHeight="1">
      <c r="B74"/>
      <c r="C74"/>
      <c r="D74"/>
      <c r="E74"/>
      <c r="F74" s="174"/>
      <c r="G74"/>
      <c r="H74"/>
      <c r="I74"/>
      <c r="J74"/>
      <c r="S74"/>
      <c r="T74"/>
      <c r="U74"/>
      <c r="V74"/>
      <c r="W74"/>
      <c r="AH74"/>
      <c r="AI74"/>
      <c r="AJ74"/>
      <c r="AK74"/>
      <c r="AL74"/>
      <c r="AM74"/>
    </row>
    <row r="75" spans="1:39" ht="18.75" customHeight="1">
      <c r="B75"/>
      <c r="C75"/>
      <c r="D75"/>
      <c r="E75"/>
      <c r="F75" s="174"/>
      <c r="G75"/>
      <c r="H75"/>
      <c r="I75"/>
      <c r="J75"/>
      <c r="S75"/>
      <c r="T75"/>
      <c r="U75"/>
      <c r="V75"/>
      <c r="W75"/>
      <c r="AH75"/>
      <c r="AI75"/>
      <c r="AJ75"/>
      <c r="AK75"/>
      <c r="AL75"/>
      <c r="AM75"/>
    </row>
    <row r="76" spans="1:39" ht="14.25" customHeight="1">
      <c r="B76"/>
      <c r="C76"/>
      <c r="D76"/>
      <c r="E76"/>
      <c r="F76" s="174"/>
      <c r="G76"/>
      <c r="H76"/>
      <c r="I76"/>
      <c r="J76"/>
      <c r="S76"/>
      <c r="T76"/>
      <c r="U76"/>
      <c r="V76"/>
      <c r="W76"/>
      <c r="AH76"/>
      <c r="AI76"/>
      <c r="AJ76"/>
      <c r="AK76"/>
      <c r="AL76"/>
      <c r="AM76"/>
    </row>
    <row r="77" spans="1:39" ht="15" customHeight="1">
      <c r="B77"/>
      <c r="C77"/>
      <c r="D77"/>
      <c r="E77"/>
      <c r="F77" s="174"/>
      <c r="G77"/>
      <c r="H77"/>
      <c r="I77"/>
      <c r="J77"/>
      <c r="S77"/>
      <c r="T77"/>
      <c r="U77"/>
      <c r="V77"/>
      <c r="W77"/>
    </row>
    <row r="78" spans="1:39" ht="14.25" customHeight="1">
      <c r="B78"/>
      <c r="C78"/>
      <c r="D78"/>
      <c r="E78"/>
      <c r="F78" s="174"/>
      <c r="G78"/>
      <c r="H78"/>
      <c r="I78"/>
      <c r="J78"/>
      <c r="S78"/>
      <c r="T78"/>
      <c r="U78"/>
      <c r="V78"/>
      <c r="W78"/>
    </row>
    <row r="79" spans="1:39" ht="15" customHeight="1">
      <c r="B79"/>
      <c r="C79"/>
      <c r="D79"/>
      <c r="E79"/>
      <c r="F79" s="174"/>
      <c r="G79"/>
      <c r="H79"/>
      <c r="I79"/>
      <c r="J79"/>
      <c r="S79"/>
      <c r="T79"/>
      <c r="U79"/>
      <c r="V79"/>
      <c r="W79"/>
    </row>
    <row r="80" spans="1:39" ht="15.75" customHeight="1">
      <c r="B80"/>
      <c r="C80"/>
      <c r="D80"/>
      <c r="E80"/>
      <c r="F80" s="174"/>
      <c r="G80"/>
      <c r="H80"/>
      <c r="I80"/>
      <c r="J80"/>
      <c r="S80"/>
      <c r="T80"/>
      <c r="U80"/>
      <c r="V80"/>
      <c r="W80"/>
    </row>
    <row r="81" spans="2:23" ht="14.25" customHeight="1">
      <c r="B81"/>
      <c r="C81"/>
      <c r="D81"/>
      <c r="E81"/>
      <c r="F81" s="174"/>
      <c r="G81"/>
      <c r="H81"/>
      <c r="I81"/>
      <c r="J81"/>
      <c r="S81"/>
      <c r="T81"/>
      <c r="U81"/>
      <c r="V81"/>
      <c r="W81"/>
    </row>
    <row r="82" spans="2:23" ht="12.75" customHeight="1">
      <c r="B82"/>
      <c r="C82"/>
      <c r="D82"/>
      <c r="E82"/>
      <c r="F82" s="174"/>
      <c r="G82"/>
      <c r="H82"/>
      <c r="I82"/>
      <c r="J82"/>
      <c r="S82"/>
      <c r="T82"/>
      <c r="U82"/>
      <c r="V82"/>
      <c r="W82"/>
    </row>
    <row r="83" spans="2:23" ht="14.25" customHeight="1">
      <c r="B83"/>
      <c r="C83"/>
      <c r="D83"/>
      <c r="E83"/>
      <c r="F83" s="174"/>
      <c r="G83"/>
      <c r="H83"/>
      <c r="J83"/>
      <c r="S83"/>
      <c r="T83"/>
      <c r="U83"/>
      <c r="V83"/>
      <c r="W83"/>
    </row>
    <row r="84" spans="2:23" ht="14.25" customHeight="1">
      <c r="B84"/>
      <c r="C84"/>
      <c r="D84"/>
      <c r="E84"/>
      <c r="F84" s="174"/>
      <c r="G84"/>
      <c r="H84"/>
      <c r="J84"/>
      <c r="S84"/>
      <c r="T84"/>
      <c r="U84"/>
      <c r="V84"/>
      <c r="W84"/>
    </row>
    <row r="85" spans="2:23" ht="15" customHeight="1">
      <c r="B85"/>
      <c r="C85"/>
      <c r="D85"/>
      <c r="E85"/>
      <c r="F85" s="174"/>
      <c r="G85"/>
      <c r="H85"/>
      <c r="J85"/>
      <c r="S85"/>
      <c r="T85"/>
      <c r="U85"/>
      <c r="V85"/>
      <c r="W85"/>
    </row>
    <row r="86" spans="2:23">
      <c r="B86"/>
      <c r="C86"/>
      <c r="D86"/>
      <c r="E86"/>
      <c r="F86" s="174"/>
      <c r="G86"/>
      <c r="H86"/>
      <c r="J86"/>
    </row>
    <row r="87" spans="2:23">
      <c r="B87"/>
      <c r="C87"/>
      <c r="D87"/>
      <c r="E87"/>
      <c r="F87" s="174"/>
      <c r="G87"/>
      <c r="H87"/>
      <c r="J87"/>
    </row>
    <row r="88" spans="2:23">
      <c r="B88"/>
      <c r="C88"/>
      <c r="D88"/>
      <c r="E88"/>
      <c r="F88" s="174"/>
      <c r="G88"/>
      <c r="H88"/>
    </row>
    <row r="89" spans="2:23">
      <c r="B89"/>
      <c r="C89"/>
      <c r="D89"/>
      <c r="E89"/>
      <c r="F89" s="174"/>
      <c r="G89"/>
      <c r="H89"/>
    </row>
    <row r="90" spans="2:23">
      <c r="B90"/>
      <c r="C90"/>
      <c r="D90"/>
      <c r="E90"/>
      <c r="G90"/>
      <c r="H90"/>
    </row>
    <row r="91" spans="2:23">
      <c r="B91"/>
      <c r="C91"/>
      <c r="D91"/>
      <c r="E91"/>
      <c r="G91"/>
      <c r="H91"/>
    </row>
    <row r="92" spans="2:23">
      <c r="B92"/>
      <c r="C92"/>
      <c r="D92"/>
      <c r="E92"/>
      <c r="G92"/>
      <c r="H92"/>
    </row>
    <row r="93" spans="2:23" ht="14.25" customHeight="1">
      <c r="B93"/>
      <c r="C93"/>
      <c r="D93"/>
      <c r="E93"/>
      <c r="G93"/>
      <c r="H93"/>
    </row>
    <row r="94" spans="2:23" ht="15" customHeight="1">
      <c r="B94"/>
      <c r="C94"/>
      <c r="D94"/>
      <c r="E94"/>
      <c r="G94"/>
      <c r="H94"/>
    </row>
    <row r="95" spans="2:23" ht="15" customHeight="1">
      <c r="B95"/>
      <c r="C95"/>
      <c r="D95"/>
      <c r="E95"/>
      <c r="G95"/>
      <c r="H95"/>
    </row>
    <row r="96" spans="2:23" ht="14.25" customHeight="1">
      <c r="B96"/>
      <c r="C96"/>
      <c r="D96"/>
      <c r="E96"/>
      <c r="G96"/>
      <c r="H96"/>
    </row>
    <row r="97" spans="2:8" ht="14.25" customHeight="1">
      <c r="B97"/>
      <c r="C97"/>
      <c r="D97"/>
      <c r="E97"/>
      <c r="G97"/>
      <c r="H97"/>
    </row>
    <row r="98" spans="2:8" ht="14.25" customHeight="1">
      <c r="B98"/>
      <c r="C98"/>
      <c r="D98"/>
      <c r="E98"/>
      <c r="G98"/>
      <c r="H98"/>
    </row>
    <row r="99" spans="2:8" ht="14.25" customHeight="1">
      <c r="B99"/>
      <c r="C99"/>
      <c r="D99"/>
      <c r="E99"/>
      <c r="G99"/>
      <c r="H99"/>
    </row>
    <row r="100" spans="2:8" ht="14.25" customHeight="1">
      <c r="B100"/>
      <c r="C100"/>
      <c r="D100"/>
      <c r="E100"/>
      <c r="G100"/>
      <c r="H100"/>
    </row>
    <row r="101" spans="2:8" ht="14.25" customHeight="1">
      <c r="B101"/>
      <c r="C101"/>
      <c r="D101"/>
      <c r="E101"/>
      <c r="G101"/>
      <c r="H101"/>
    </row>
    <row r="102" spans="2:8" ht="14.25" customHeight="1">
      <c r="B102"/>
      <c r="C102"/>
      <c r="D102"/>
      <c r="E102"/>
    </row>
    <row r="103" spans="2:8" ht="15" customHeight="1">
      <c r="B103"/>
      <c r="C103"/>
      <c r="D103"/>
      <c r="E103"/>
    </row>
    <row r="104" spans="2:8">
      <c r="B104"/>
      <c r="C104"/>
      <c r="D104"/>
      <c r="E104"/>
    </row>
    <row r="105" spans="2:8">
      <c r="B105"/>
      <c r="C105"/>
      <c r="D105"/>
      <c r="E105"/>
    </row>
    <row r="106" spans="2:8">
      <c r="B106"/>
      <c r="C106"/>
      <c r="D106"/>
      <c r="E106"/>
    </row>
    <row r="107" spans="2:8">
      <c r="B107"/>
      <c r="C107"/>
      <c r="D107"/>
      <c r="E107"/>
    </row>
    <row r="108" spans="2:8">
      <c r="B108"/>
      <c r="C108"/>
      <c r="D108"/>
      <c r="E108"/>
    </row>
    <row r="109" spans="2:8">
      <c r="B109"/>
      <c r="C109"/>
      <c r="D109"/>
      <c r="E109"/>
    </row>
    <row r="110" spans="2:8">
      <c r="B110"/>
      <c r="C110"/>
      <c r="D110"/>
      <c r="E110"/>
    </row>
    <row r="111" spans="2:8">
      <c r="B111"/>
      <c r="C111"/>
      <c r="D111"/>
      <c r="E111"/>
    </row>
    <row r="112" spans="2:8">
      <c r="B112"/>
      <c r="C112"/>
      <c r="D112"/>
      <c r="E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</sheetData>
  <sheetProtection algorithmName="SHA-512" hashValue="d9n/qIi72r7iWccxnT+Ohjmaee5d13uGExTt+d32JkgOHETJWnzu6fAnEFknLWQO2EfgqAnezrRPFk7TQPKISg==" saltValue="Yp3RgyR4QN7Kgelgu4AyzA==" spinCount="100000" sheet="1" objects="1" scenarios="1"/>
  <dataConsolidate/>
  <mergeCells count="107">
    <mergeCell ref="B10:E10"/>
    <mergeCell ref="K20:L20"/>
    <mergeCell ref="B58:C58"/>
    <mergeCell ref="B52:E52"/>
    <mergeCell ref="B53:E53"/>
    <mergeCell ref="B54:E55"/>
    <mergeCell ref="B57:C57"/>
    <mergeCell ref="D57:E57"/>
    <mergeCell ref="G40:H40"/>
    <mergeCell ref="G37:H37"/>
    <mergeCell ref="G39:H39"/>
    <mergeCell ref="G38:H38"/>
    <mergeCell ref="G53:Q54"/>
    <mergeCell ref="G51:H51"/>
    <mergeCell ref="G52:H52"/>
    <mergeCell ref="B56:C56"/>
    <mergeCell ref="D56:E56"/>
    <mergeCell ref="G30:H30"/>
    <mergeCell ref="G56:Q56"/>
    <mergeCell ref="G36:H36"/>
    <mergeCell ref="G31:H31"/>
    <mergeCell ref="G33:H33"/>
    <mergeCell ref="G50:H50"/>
    <mergeCell ref="G62:Q62"/>
    <mergeCell ref="G63:Q63"/>
    <mergeCell ref="B60:E60"/>
    <mergeCell ref="G21:Q21"/>
    <mergeCell ref="G22:Q22"/>
    <mergeCell ref="G25:Q25"/>
    <mergeCell ref="G26:H26"/>
    <mergeCell ref="G32:Q32"/>
    <mergeCell ref="G35:Q35"/>
    <mergeCell ref="G41:H41"/>
    <mergeCell ref="G42:Q42"/>
    <mergeCell ref="G43:H43"/>
    <mergeCell ref="G44:H44"/>
    <mergeCell ref="G45:H45"/>
    <mergeCell ref="G46:Q46"/>
    <mergeCell ref="G47:H47"/>
    <mergeCell ref="G48:H48"/>
    <mergeCell ref="G49:Q49"/>
    <mergeCell ref="D58:E58"/>
    <mergeCell ref="G57:Q60"/>
    <mergeCell ref="B59:C59"/>
    <mergeCell ref="D59:E59"/>
    <mergeCell ref="G61:Q61"/>
    <mergeCell ref="G29:H29"/>
    <mergeCell ref="O1:Q1"/>
    <mergeCell ref="O2:Q2"/>
    <mergeCell ref="O3:Q3"/>
    <mergeCell ref="S18:T18"/>
    <mergeCell ref="S28:U28"/>
    <mergeCell ref="S23:T23"/>
    <mergeCell ref="G7:Q8"/>
    <mergeCell ref="G10:Q10"/>
    <mergeCell ref="G17:H17"/>
    <mergeCell ref="G19:H19"/>
    <mergeCell ref="I20:J20"/>
    <mergeCell ref="M20:N20"/>
    <mergeCell ref="S6:V6"/>
    <mergeCell ref="S20:T20"/>
    <mergeCell ref="S21:T21"/>
    <mergeCell ref="S10:T10"/>
    <mergeCell ref="S11:T11"/>
    <mergeCell ref="S12:T12"/>
    <mergeCell ref="S13:T13"/>
    <mergeCell ref="S14:T14"/>
    <mergeCell ref="S15:T15"/>
    <mergeCell ref="S16:T16"/>
    <mergeCell ref="S17:T17"/>
    <mergeCell ref="B2:D2"/>
    <mergeCell ref="T56:U56"/>
    <mergeCell ref="S7:V8"/>
    <mergeCell ref="S29:U29"/>
    <mergeCell ref="S30:U30"/>
    <mergeCell ref="S35:T35"/>
    <mergeCell ref="S36:T36"/>
    <mergeCell ref="S31:U31"/>
    <mergeCell ref="G18:H18"/>
    <mergeCell ref="G24:H24"/>
    <mergeCell ref="G20:H20"/>
    <mergeCell ref="G11:H11"/>
    <mergeCell ref="G12:H12"/>
    <mergeCell ref="G16:H16"/>
    <mergeCell ref="G13:H13"/>
    <mergeCell ref="G14:H14"/>
    <mergeCell ref="G15:H15"/>
    <mergeCell ref="S9:T9"/>
    <mergeCell ref="P6:Q6"/>
    <mergeCell ref="S33:T33"/>
    <mergeCell ref="S34:T34"/>
    <mergeCell ref="S37:V40"/>
    <mergeCell ref="B7:E8"/>
    <mergeCell ref="B9:E9"/>
    <mergeCell ref="S41:V43"/>
    <mergeCell ref="U36:V36"/>
    <mergeCell ref="S19:T19"/>
    <mergeCell ref="S26:U26"/>
    <mergeCell ref="G34:H34"/>
    <mergeCell ref="G27:H27"/>
    <mergeCell ref="G23:H23"/>
    <mergeCell ref="G28:H28"/>
    <mergeCell ref="S25:T25"/>
    <mergeCell ref="S22:T22"/>
    <mergeCell ref="S24:T24"/>
    <mergeCell ref="S27:U27"/>
    <mergeCell ref="S32:T32"/>
  </mergeCells>
  <conditionalFormatting sqref="U9">
    <cfRule type="containsText" dxfId="36" priority="130" operator="containsText" text="Rate">
      <formula>NOT(ISERROR(SEARCH("Rate",U9)))</formula>
    </cfRule>
    <cfRule type="expression" dxfId="35" priority="136">
      <formula>Output_NetPrice_ExpNR &lt; 99</formula>
    </cfRule>
  </conditionalFormatting>
  <conditionalFormatting sqref="U9">
    <cfRule type="expression" dxfId="34" priority="135">
      <formula>Output_NetPrice_JM &lt; 99</formula>
    </cfRule>
  </conditionalFormatting>
  <conditionalFormatting sqref="A7:A51">
    <cfRule type="containsText" dxfId="33" priority="67" operator="containsText" text="n/a">
      <formula>NOT(ISERROR(SEARCH("n/a",A7)))</formula>
    </cfRule>
  </conditionalFormatting>
  <conditionalFormatting sqref="B9">
    <cfRule type="containsText" dxfId="32" priority="69" operator="containsText" text="n/a">
      <formula>NOT(ISERROR(SEARCH("n/a",B9)))</formula>
    </cfRule>
  </conditionalFormatting>
  <conditionalFormatting sqref="B11:E11">
    <cfRule type="containsText" dxfId="31" priority="68" operator="containsText" text="n/a">
      <formula>NOT(ISERROR(SEARCH("n/a",B11)))</formula>
    </cfRule>
  </conditionalFormatting>
  <conditionalFormatting sqref="C14:D21 C22:E51">
    <cfRule type="containsErrors" dxfId="30" priority="70">
      <formula>ISERROR(C14)</formula>
    </cfRule>
  </conditionalFormatting>
  <conditionalFormatting sqref="G10">
    <cfRule type="containsText" dxfId="29" priority="62" operator="containsText" text="n/a">
      <formula>NOT(ISERROR(SEARCH("n/a",G10)))</formula>
    </cfRule>
  </conditionalFormatting>
  <conditionalFormatting sqref="G9:Q9">
    <cfRule type="containsText" dxfId="28" priority="63" operator="containsText" text="n/a">
      <formula>NOT(ISERROR(SEARCH("n/a",G9)))</formula>
    </cfRule>
  </conditionalFormatting>
  <conditionalFormatting sqref="G11">
    <cfRule type="containsText" dxfId="27" priority="61" operator="containsText" text="n/a">
      <formula>NOT(ISERROR(SEARCH("n/a",G11)))</formula>
    </cfRule>
  </conditionalFormatting>
  <conditionalFormatting sqref="I11:Q11">
    <cfRule type="containsText" dxfId="26" priority="60" operator="containsText" text="n/a">
      <formula>NOT(ISERROR(SEARCH("n/a",I11)))</formula>
    </cfRule>
  </conditionalFormatting>
  <conditionalFormatting sqref="B56">
    <cfRule type="containsText" dxfId="25" priority="54" operator="containsText" text="n/a">
      <formula>NOT(ISERROR(SEARCH("n/a",B56)))</formula>
    </cfRule>
  </conditionalFormatting>
  <conditionalFormatting sqref="B60">
    <cfRule type="containsText" dxfId="24" priority="53" operator="containsText" text="n/a">
      <formula>NOT(ISERROR(SEARCH("n/a",B60)))</formula>
    </cfRule>
  </conditionalFormatting>
  <conditionalFormatting sqref="G21:G22">
    <cfRule type="containsText" dxfId="23" priority="37" operator="containsText" text="n/a">
      <formula>NOT(ISERROR(SEARCH("n/a",G21)))</formula>
    </cfRule>
  </conditionalFormatting>
  <conditionalFormatting sqref="G57">
    <cfRule type="containsText" dxfId="22" priority="36" operator="containsText" text="n/a">
      <formula>NOT(ISERROR(SEARCH("n/a",G57)))</formula>
    </cfRule>
  </conditionalFormatting>
  <conditionalFormatting sqref="G25">
    <cfRule type="containsText" dxfId="21" priority="34" operator="containsText" text="n/a">
      <formula>NOT(ISERROR(SEARCH("n/a",G25)))</formula>
    </cfRule>
  </conditionalFormatting>
  <conditionalFormatting sqref="G32">
    <cfRule type="containsText" dxfId="20" priority="33" operator="containsText" text="n/a">
      <formula>NOT(ISERROR(SEARCH("n/a",G32)))</formula>
    </cfRule>
  </conditionalFormatting>
  <conditionalFormatting sqref="G35">
    <cfRule type="containsText" dxfId="19" priority="32" operator="containsText" text="n/a">
      <formula>NOT(ISERROR(SEARCH("n/a",G35)))</formula>
    </cfRule>
  </conditionalFormatting>
  <conditionalFormatting sqref="G42">
    <cfRule type="containsText" dxfId="18" priority="31" operator="containsText" text="n/a">
      <formula>NOT(ISERROR(SEARCH("n/a",G42)))</formula>
    </cfRule>
  </conditionalFormatting>
  <conditionalFormatting sqref="G46">
    <cfRule type="containsText" dxfId="17" priority="30" operator="containsText" text="n/a">
      <formula>NOT(ISERROR(SEARCH("n/a",G46)))</formula>
    </cfRule>
  </conditionalFormatting>
  <conditionalFormatting sqref="G49">
    <cfRule type="containsText" dxfId="16" priority="29" operator="containsText" text="n/a">
      <formula>NOT(ISERROR(SEARCH("n/a",G49)))</formula>
    </cfRule>
  </conditionalFormatting>
  <conditionalFormatting sqref="G56">
    <cfRule type="containsText" dxfId="15" priority="28" operator="containsText" text="n/a">
      <formula>NOT(ISERROR(SEARCH("n/a",G56)))</formula>
    </cfRule>
  </conditionalFormatting>
  <conditionalFormatting sqref="G61">
    <cfRule type="containsText" dxfId="14" priority="27" operator="containsText" text="n/a">
      <formula>NOT(ISERROR(SEARCH("n/a",G61)))</formula>
    </cfRule>
  </conditionalFormatting>
  <conditionalFormatting sqref="R12:R22">
    <cfRule type="containsErrors" dxfId="13" priority="26">
      <formula>ISERROR(R12)</formula>
    </cfRule>
  </conditionalFormatting>
  <conditionalFormatting sqref="R10:R22">
    <cfRule type="containsText" dxfId="12" priority="25" operator="containsText" text="n/a">
      <formula>NOT(ISERROR(SEARCH("n/a",R10)))</formula>
    </cfRule>
  </conditionalFormatting>
  <conditionalFormatting sqref="X9">
    <cfRule type="containsText" dxfId="11" priority="24" operator="containsText" text="n/a">
      <formula>NOT(ISERROR(SEARCH("n/a",X9)))</formula>
    </cfRule>
  </conditionalFormatting>
  <conditionalFormatting sqref="S56:T56">
    <cfRule type="containsText" dxfId="10" priority="21" operator="containsText" text="n/a">
      <formula>NOT(ISERROR(SEARCH("n/a",S56)))</formula>
    </cfRule>
  </conditionalFormatting>
  <conditionalFormatting sqref="V56">
    <cfRule type="containsText" dxfId="9" priority="20" operator="containsText" text="n/a">
      <formula>NOT(ISERROR(SEARCH("n/a",V56)))</formula>
    </cfRule>
  </conditionalFormatting>
  <conditionalFormatting sqref="S36">
    <cfRule type="containsText" dxfId="8" priority="17" operator="containsText" text="n/a">
      <formula>NOT(ISERROR(SEARCH("n/a",S36)))</formula>
    </cfRule>
  </conditionalFormatting>
  <conditionalFormatting sqref="S30">
    <cfRule type="containsText" dxfId="7" priority="15" operator="containsText" text="n/a">
      <formula>NOT(ISERROR(SEARCH("n/a",S30)))</formula>
    </cfRule>
  </conditionalFormatting>
  <conditionalFormatting sqref="S26">
    <cfRule type="containsText" dxfId="6" priority="11" operator="containsText" text="n/a">
      <formula>NOT(ISERROR(SEARCH("n/a",S26)))</formula>
    </cfRule>
  </conditionalFormatting>
  <conditionalFormatting sqref="V26:W26">
    <cfRule type="containsText" dxfId="5" priority="10" operator="containsText" text="n/a">
      <formula>NOT(ISERROR(SEARCH("n/a",V26)))</formula>
    </cfRule>
  </conditionalFormatting>
  <conditionalFormatting sqref="S31">
    <cfRule type="containsText" dxfId="4" priority="7" operator="containsText" text="n/a">
      <formula>NOT(ISERROR(SEARCH("n/a",S31)))</formula>
    </cfRule>
  </conditionalFormatting>
  <conditionalFormatting sqref="V31:W31">
    <cfRule type="containsText" dxfId="3" priority="6" operator="containsText" text="n/a">
      <formula>NOT(ISERROR(SEARCH("n/a",V31)))</formula>
    </cfRule>
  </conditionalFormatting>
  <conditionalFormatting sqref="S37">
    <cfRule type="containsText" dxfId="2" priority="5" operator="containsText" text="n/a">
      <formula>NOT(ISERROR(SEARCH("n/a",S37)))</formula>
    </cfRule>
  </conditionalFormatting>
  <conditionalFormatting sqref="C12:D13">
    <cfRule type="containsErrors" dxfId="1" priority="4">
      <formula>ISERROR(C12)</formula>
    </cfRule>
  </conditionalFormatting>
  <conditionalFormatting sqref="S41">
    <cfRule type="containsText" dxfId="0" priority="1" operator="containsText" text="n/a">
      <formula>NOT(ISERROR(SEARCH("n/a",S41)))</formula>
    </cfRule>
  </conditionalFormatting>
  <pageMargins left="0.25" right="0.25" top="0.75" bottom="0.75" header="0.3" footer="0.3"/>
  <pageSetup paperSize="5" scale="45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E8297FAB-79A9-4062-BAEB-BFBD90A75901}">
          <x14:formula1>
            <xm:f>'Feed(WS)'!$N$81:$N$127</xm:f>
          </x14:formula1>
          <xm:sqref>U9</xm:sqref>
        </x14:dataValidation>
        <x14:dataValidation type="list" allowBlank="1" showInputMessage="1" showErrorMessage="1" xr:uid="{C37D67A7-5FCB-4026-BAE3-E15E9AD6A895}">
          <x14:formula1>
            <xm:f>'Feed(WS)'!$K$2:$K$5</xm:f>
          </x14:formula1>
          <xm:sqref>U24</xm:sqref>
        </x14:dataValidation>
        <x14:dataValidation type="list" allowBlank="1" showInputMessage="1" showErrorMessage="1" xr:uid="{DBFB67E8-5777-4508-82FC-09728A7B8759}">
          <x14:formula1>
            <xm:f>'Feed(WS)'!$J$2:$J$13</xm:f>
          </x14:formula1>
          <xm:sqref>U20</xm:sqref>
        </x14:dataValidation>
        <x14:dataValidation type="list" allowBlank="1" showInputMessage="1" showErrorMessage="1" xr:uid="{7A6BA44D-10CD-4A9C-8299-0A5E4574449B}">
          <x14:formula1>
            <xm:f>'Feed(WS)'!$L$2:$L$7</xm:f>
          </x14:formula1>
          <xm:sqref>U15</xm:sqref>
        </x14:dataValidation>
        <x14:dataValidation type="list" allowBlank="1" showInputMessage="1" showErrorMessage="1" xr:uid="{04815474-99F2-48CD-AF2D-20A7FD6132F9}">
          <x14:formula1>
            <xm:f>'Feed(WS)'!$I$2:$I$6</xm:f>
          </x14:formula1>
          <xm:sqref>U18</xm:sqref>
        </x14:dataValidation>
        <x14:dataValidation type="list" allowBlank="1" showInputMessage="1" showErrorMessage="1" xr:uid="{A2083DE2-18F1-4F82-804D-AFA4C3DAFBEA}">
          <x14:formula1>
            <xm:f>'Feed(WS)'!$A$2:$A$12</xm:f>
          </x14:formula1>
          <xm:sqref>U11</xm:sqref>
        </x14:dataValidation>
        <x14:dataValidation type="list" allowBlank="1" showInputMessage="1" showErrorMessage="1" xr:uid="{2FF30E59-B834-4D63-9A99-6C3BA0848CE8}">
          <x14:formula1>
            <xm:f>'Feed(WS)'!$H$2:$H$9</xm:f>
          </x14:formula1>
          <xm:sqref>U19</xm:sqref>
        </x14:dataValidation>
        <x14:dataValidation type="list" allowBlank="1" showInputMessage="1" showErrorMessage="1" xr:uid="{263045B5-654F-4710-BD85-8898F2516A0D}">
          <x14:formula1>
            <xm:f>'Feed(WS)'!$M$2:$M$4</xm:f>
          </x14:formula1>
          <xm:sqref>U12</xm:sqref>
        </x14:dataValidation>
        <x14:dataValidation type="list" allowBlank="1" showInputMessage="1" showErrorMessage="1" xr:uid="{CADE326F-19E1-4806-9B4C-102D4DC6671F}">
          <x14:formula1>
            <xm:f>'Feed(WS)'!$O$2:$O$5</xm:f>
          </x14:formula1>
          <xm:sqref>U22</xm:sqref>
        </x14:dataValidation>
        <x14:dataValidation type="list" allowBlank="1" showInputMessage="1" showErrorMessage="1" xr:uid="{7D26D7D1-7AEE-496F-AD88-D28A007ECC87}">
          <x14:formula1>
            <xm:f>'Feed(WS)'!$N$2:$N$13</xm:f>
          </x14:formula1>
          <xm:sqref>U21</xm:sqref>
        </x14:dataValidation>
        <x14:dataValidation type="list" allowBlank="1" showInputMessage="1" showErrorMessage="1" xr:uid="{16D05D54-A253-44F5-8CF5-7E0B9AF97B14}">
          <x14:formula1>
            <xm:f>'Feed(WS)'!$F$2:$F$11</xm:f>
          </x14:formula1>
          <xm:sqref>U17</xm:sqref>
        </x14:dataValidation>
        <x14:dataValidation type="list" allowBlank="1" showInputMessage="1" showErrorMessage="1" xr:uid="{04B5E06E-8EEB-4FE3-BF08-DCA9F83AFB06}">
          <x14:formula1>
            <xm:f>'Feed(WS)'!$B$2:$B$13</xm:f>
          </x14:formula1>
          <xm:sqref>U10</xm:sqref>
        </x14:dataValidation>
        <x14:dataValidation type="list" allowBlank="1" showInputMessage="1" showErrorMessage="1" xr:uid="{FE4694EE-B1DF-487D-9F6E-6D68208E9217}">
          <x14:formula1>
            <xm:f>'Feed(WS)'!$C$2:$C$6</xm:f>
          </x14:formula1>
          <xm:sqref>U13</xm:sqref>
        </x14:dataValidation>
        <x14:dataValidation type="list" allowBlank="1" showInputMessage="1" showErrorMessage="1" xr:uid="{B750E807-618B-4E87-A9FC-A969C42B4731}">
          <x14:formula1>
            <xm:f>'Feed(WS)'!$P$2:$P$5</xm:f>
          </x14:formula1>
          <xm:sqref>U23</xm:sqref>
        </x14:dataValidation>
        <x14:dataValidation type="list" allowBlank="1" showInputMessage="1" showErrorMessage="1" xr:uid="{844533B3-2573-4A60-AE01-C53E93DF1670}">
          <x14:formula1>
            <xm:f>'Feed(WS)'!$E$2:$E$6</xm:f>
          </x14:formula1>
          <xm:sqref>U16</xm:sqref>
        </x14:dataValidation>
        <x14:dataValidation type="list" allowBlank="1" showInputMessage="1" showErrorMessage="1" xr:uid="{6948E5C8-A01B-43C3-8313-4B7D6B097994}">
          <x14:formula1>
            <xm:f>'Feed(WS)'!$D$2:$D$8</xm:f>
          </x14:formula1>
          <xm:sqref>U14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28" zoomScale="70" zoomScaleNormal="70" workbookViewId="0">
      <selection activeCell="D46" sqref="D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25" t="s">
        <v>21</v>
      </c>
      <c r="B1" s="225" t="s">
        <v>22</v>
      </c>
      <c r="C1" s="225" t="s">
        <v>3</v>
      </c>
      <c r="D1" s="225" t="s">
        <v>188</v>
      </c>
      <c r="E1" s="225" t="s">
        <v>7</v>
      </c>
      <c r="F1" s="225" t="s">
        <v>23</v>
      </c>
      <c r="G1" s="225" t="s">
        <v>24</v>
      </c>
      <c r="H1" s="225" t="s">
        <v>10</v>
      </c>
      <c r="I1" s="225" t="s">
        <v>9</v>
      </c>
      <c r="J1" s="225" t="s">
        <v>25</v>
      </c>
      <c r="K1" s="225" t="s">
        <v>26</v>
      </c>
      <c r="L1" s="225" t="s">
        <v>5</v>
      </c>
      <c r="M1" s="225" t="s">
        <v>147</v>
      </c>
      <c r="N1" s="225" t="s">
        <v>12</v>
      </c>
      <c r="O1" s="225" t="s">
        <v>161</v>
      </c>
      <c r="P1" s="225" t="s">
        <v>162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293</v>
      </c>
      <c r="C3" s="98" t="s">
        <v>170</v>
      </c>
      <c r="D3" s="48" t="s">
        <v>194</v>
      </c>
      <c r="E3" s="59" t="s">
        <v>142</v>
      </c>
      <c r="F3" s="136" t="s">
        <v>185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176</v>
      </c>
      <c r="P3" s="59" t="s">
        <v>163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189</v>
      </c>
      <c r="E4" s="59" t="s">
        <v>143</v>
      </c>
      <c r="F4" s="59" t="s">
        <v>144</v>
      </c>
      <c r="G4" s="59" t="s">
        <v>153</v>
      </c>
      <c r="H4" s="59" t="s">
        <v>297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167</v>
      </c>
      <c r="O4" s="59" t="s">
        <v>177</v>
      </c>
      <c r="P4" s="59" t="s">
        <v>180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190</v>
      </c>
      <c r="E5" s="59" t="s">
        <v>184</v>
      </c>
      <c r="F5" s="59" t="s">
        <v>145</v>
      </c>
      <c r="G5" s="59" t="s">
        <v>154</v>
      </c>
      <c r="H5" s="59" t="s">
        <v>298</v>
      </c>
      <c r="I5" s="59" t="s">
        <v>303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178</v>
      </c>
      <c r="P5" s="59" t="s">
        <v>164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186</v>
      </c>
      <c r="D6" s="48" t="s">
        <v>191</v>
      </c>
      <c r="E6" s="59" t="s">
        <v>195</v>
      </c>
      <c r="F6" s="59" t="s">
        <v>155</v>
      </c>
      <c r="G6" s="59"/>
      <c r="H6" s="64" t="s">
        <v>299</v>
      </c>
      <c r="I6" s="59" t="s">
        <v>301</v>
      </c>
      <c r="J6" s="59"/>
      <c r="K6" s="59"/>
      <c r="L6" s="48" t="s">
        <v>193</v>
      </c>
      <c r="M6" s="97"/>
      <c r="N6" s="59" t="s">
        <v>182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192</v>
      </c>
      <c r="F7" s="59" t="s">
        <v>156</v>
      </c>
      <c r="G7" s="99"/>
      <c r="H7" s="59"/>
      <c r="I7" s="59"/>
      <c r="J7" s="59"/>
      <c r="K7" s="59"/>
      <c r="L7" s="48" t="s">
        <v>291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236</v>
      </c>
      <c r="F8" s="59" t="s">
        <v>187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22" t="s">
        <v>121</v>
      </c>
      <c r="B38" s="221"/>
      <c r="C38" s="59"/>
      <c r="D38" s="59"/>
      <c r="E38" s="222" t="s">
        <v>159</v>
      </c>
      <c r="F38" s="223"/>
      <c r="G38" s="222" t="s">
        <v>158</v>
      </c>
      <c r="H38" s="223"/>
      <c r="I38" s="222" t="s">
        <v>171</v>
      </c>
      <c r="J38" s="223"/>
      <c r="K38" s="222" t="s">
        <v>217</v>
      </c>
      <c r="L38" s="223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7" t="s">
        <v>216</v>
      </c>
      <c r="B39" s="128" t="str" cm="1">
        <f t="array" ref="B39">IF(AND(OR('Closed End Seconds'!U10=B12:B13),'Closed End Seconds'!U16=E5),NA(),"")</f>
        <v/>
      </c>
      <c r="C39" s="59"/>
      <c r="D39" s="59"/>
      <c r="E39" s="122" t="s">
        <v>243</v>
      </c>
      <c r="F39" s="148" t="str">
        <f>IF(AND(
ISNUMBER(MATCH('Closed End Seconds'!U17, F3:F7, 0)),
ISNUMBER(MATCH('Closed End Seconds'!U18, I3, 0)),
ISNUMBER(MATCH('Closed End Seconds'!U10, B11, 0)),
ISNUMBER(MATCH('Closed End Seconds'!U11, A9:A10, 0)),
'Closed End Seconds'!U13=C4
), NA(), "")</f>
        <v/>
      </c>
      <c r="G39" s="152" t="s">
        <v>224</v>
      </c>
      <c r="H39" s="148"/>
      <c r="I39" s="152" t="s">
        <v>227</v>
      </c>
      <c r="J39" s="148" t="str" cm="1">
        <f t="array" ref="J39">IF(AND(OR('Closed End Seconds'!U17=F3:F6),OR('Closed End Seconds'!U18=I3),OR('Closed End Seconds'!U10=B10:B11),OR('Closed End Seconds'!U11=A3:A10),OR('Closed End Seconds'!U13=C3)),NA(),"")</f>
        <v/>
      </c>
      <c r="K39" s="146" t="s">
        <v>228</v>
      </c>
      <c r="L39" s="213" t="str" cm="1">
        <f t="array" ref="L39">IF(AND(OR('Closed End Seconds'!U17=F8),OR('Closed End Seconds'!U18=I5),OR('Closed End Seconds'!U10=B8:B11),OR('Closed End Seconds'!U13=C6)),NA(),"")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29"/>
      <c r="B40" s="130"/>
      <c r="C40" s="59"/>
      <c r="D40" s="59"/>
      <c r="E40" s="122" t="s">
        <v>218</v>
      </c>
      <c r="F40" s="149" t="str">
        <f>IF(AND(
ISNUMBER(MATCH('Closed End Seconds'!U17, F3:F7, 0)),
ISNUMBER(MATCH('Closed End Seconds'!U18, I3, 0)),
ISNUMBER(MATCH('Closed End Seconds'!U10, B10:B11, 0)),
ISNUMBER(MATCH('Closed End Seconds'!U11, A9:A10, 0)),
'Closed End Seconds'!U13=C4
), NA(), "")</f>
        <v/>
      </c>
      <c r="G40" s="147" t="s">
        <v>225</v>
      </c>
      <c r="H40" s="150" t="str">
        <f>IF(AND(
ISNUMBER(MATCH('Closed End Seconds'!U17, F3:F6, 0)),
ISNUMBER(MATCH('Closed End Seconds'!U18, I3, 0)),
ISNUMBER(MATCH('Closed End Seconds'!U10, B10:B11, 0)),
ISNUMBER(MATCH('Closed End Seconds'!U11, A8:A10, 0)),
'Closed End Seconds'!U13=C5
), NA(), "")</f>
        <v/>
      </c>
      <c r="I40" s="152" t="s">
        <v>226</v>
      </c>
      <c r="J40" s="149" t="str" cm="1">
        <f t="array" ref="J40">IF(AND(OR('Closed End Seconds'!U17=F3:F6),OR('Closed End Seconds'!U18=I3),OR('Closed End Seconds'!U10=B9:B11),OR('Closed End Seconds'!U11=A9:A10),OR('Closed End Seconds'!U13=C3)),NA(),"")</f>
        <v/>
      </c>
      <c r="K40" s="146" t="s">
        <v>229</v>
      </c>
      <c r="L40" s="213" t="str" cm="1">
        <f t="array" ref="L40">IF(AND(OR('Closed End Seconds'!U17=F3:F6),OR('Closed End Seconds'!U18=I5),OR('Closed End Seconds'!U10=B8:B11),OR('Closed End Seconds'!U11=A10),OR('Closed End Seconds'!U13=C6)),NA(),"")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29" t="s">
        <v>183</v>
      </c>
      <c r="B41" s="130" t="str">
        <f>IF('Closed End Seconds'!U21=N6,NA(),"")</f>
        <v/>
      </c>
      <c r="C41" s="59"/>
      <c r="D41" s="59"/>
      <c r="E41" s="122" t="s">
        <v>294</v>
      </c>
      <c r="F41" s="149" t="str" cm="1">
        <f t="array" ref="F41">IF(AND(OR('Closed End Seconds'!U17=F3:F6),OR('Closed End Seconds'!U18=I3),OR('Closed End Seconds'!U10=B10:B11),OR('Closed End Seconds'!U11=A10)),NA(),"")</f>
        <v/>
      </c>
      <c r="G41" s="147" t="s">
        <v>226</v>
      </c>
      <c r="H41" s="143" t="str">
        <f>IF(AND(
ISNUMBER(MATCH('Closed End Seconds'!U17, F3:F6, 0)),
ISNUMBER(MATCH('Closed End Seconds'!U18, I3, 0)),
ISNUMBER(MATCH('Closed End Seconds'!U10, B10:B11, 0)),
ISNUMBER(MATCH('Closed End Seconds'!U11, A9:A10, 0)),
'Closed End Seconds'!U13=C5
), NA(), "")</f>
        <v/>
      </c>
      <c r="I41" s="152" t="s">
        <v>202</v>
      </c>
      <c r="J41" s="144" t="str" cm="1">
        <f t="array" ref="J41">IF(AND(OR('Closed End Seconds'!U17=F7),OR('Closed End Seconds'!U18=I3),OR('Closed End Seconds'!U10=B9:B11),OR('Closed End Seconds'!U13=C3)),NA(),"")</f>
        <v/>
      </c>
      <c r="K41" s="146" t="s">
        <v>230</v>
      </c>
      <c r="L41" s="213" t="str" cm="1">
        <f t="array" ref="L41">IF(AND(OR('Closed End Seconds'!U17=F3:F6),OR('Closed End Seconds'!U18=I5),OR('Closed End Seconds'!U10=B7:B11),OR('Closed End Seconds'!U11=A9),OR('Closed End Seconds'!U13=C6)),NA(),"")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29" t="s">
        <v>157</v>
      </c>
      <c r="B42" s="130" t="str" cm="1">
        <f t="array" ref="B42">IF(AND(OR('Closed End Seconds'!U10=B11:B13),OR('Closed End Seconds'!U19=H4:H5)),NA(),"")</f>
        <v/>
      </c>
      <c r="C42" s="59"/>
      <c r="D42" s="59"/>
      <c r="E42" s="140" t="s">
        <v>244</v>
      </c>
      <c r="F42" s="150" t="str">
        <f>IF(AND(
ISNUMBER(MATCH('Closed End Seconds'!U17, F8, 0)),
ISNUMBER(MATCH('Closed End Seconds'!U18, I3, 0)),
ISNUMBER(MATCH('Closed End Seconds'!U10, B8:B11, 0)),
ISNUMBER(MATCH('Closed End Seconds'!U11, A10, 0)),
'Closed End Seconds'!U13=C4
), NA(), "")</f>
        <v/>
      </c>
      <c r="G42" s="152" t="s">
        <v>231</v>
      </c>
      <c r="H42" s="144" t="str" cm="1">
        <f t="array" ref="H42">IF(AND(OR('Closed End Seconds'!U17=F3:F8),OR('Closed End Seconds'!U18=I3),OR('Closed End Seconds'!U10=B9:B11),OR('Closed End Seconds'!U11=A10),OR('Closed End Seconds'!U13=C5)),NA(),"")</f>
        <v/>
      </c>
      <c r="I42" s="152" t="s">
        <v>213</v>
      </c>
      <c r="J42" s="144" t="str" cm="1">
        <f t="array" ref="J42">IF(AND(OR('Closed End Seconds'!U17=F7),OR('Closed End Seconds'!U18=I3),OR('Closed End Seconds'!U11=A8:A10),OR('Closed End Seconds'!U13=C3)),NA(),"")</f>
        <v/>
      </c>
      <c r="K42" s="146" t="s">
        <v>232</v>
      </c>
      <c r="L42" s="213" t="str" cm="1">
        <f t="array" ref="L42">IF(AND(OR('Closed End Seconds'!U17=F3:F6),OR('Closed End Seconds'!U18=I5),OR('Closed End Seconds'!U10=B6:B11),OR('Closed End Seconds'!U11=A10),OR('Closed End Seconds'!U13=C6)),NA(),"")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29" t="s">
        <v>160</v>
      </c>
      <c r="B43" s="125" t="str">
        <f>IF(AND(OR('Closed End Seconds'!U18=I4),OR('Closed End Seconds'!U19=H4)),NA(),"")</f>
        <v/>
      </c>
      <c r="C43" s="59"/>
      <c r="D43" s="59"/>
      <c r="E43" s="140" t="s">
        <v>245</v>
      </c>
      <c r="F43" s="150" t="str">
        <f>IF(AND(
ISNUMBER(MATCH('Closed End Seconds'!U17, F8, 0)),
ISNUMBER(MATCH('Closed End Seconds'!U18, I3, 0)),
ISNUMBER(MATCH('Closed End Seconds'!U10, B9:B11, 0)),
ISNUMBER(MATCH('Closed End Seconds'!U11, A9:A10, 0)),
'Closed End Seconds'!U13=C4
), NA(), "")</f>
        <v/>
      </c>
      <c r="G43" s="147" t="s">
        <v>248</v>
      </c>
      <c r="H43" s="143" t="str">
        <f>IF(AND(
ISNUMBER(MATCH('Closed End Seconds'!U17, F7:F8, 0)),
ISNUMBER(MATCH('Closed End Seconds'!U18, I3, 0)),
ISNUMBER(MATCH('Closed End Seconds'!U10, B9:B11, 0)),
ISNUMBER(MATCH('Closed End Seconds'!U11, A9:A10, 0)),
'Closed End Seconds'!U13=C5
), NA(), "")</f>
        <v/>
      </c>
      <c r="I43" s="152" t="s">
        <v>214</v>
      </c>
      <c r="J43" s="144" t="str" cm="1">
        <f t="array" ref="J43">IF(AND(OR('Closed End Seconds'!U17=F8),OR('Closed End Seconds'!U18=I3),OR('Closed End Seconds'!U11=A8:A10),OR('Closed End Seconds'!U13=C3)),NA(),"")</f>
        <v/>
      </c>
      <c r="K43" s="146" t="s">
        <v>205</v>
      </c>
      <c r="L43" s="213" t="str" cm="1">
        <f t="array" ref="L43">IF(AND(OR('Closed End Seconds'!U17=F7),OR('Closed End Seconds'!U18=I5),OR('Closed End Seconds'!U10=B7:B11),OR('Closed End Seconds'!U13=C6)),NA(),"")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4" t="s">
        <v>179</v>
      </c>
      <c r="B44" s="125" t="str">
        <f>IF(AND('Closed End Seconds'!U13=C3,'Closed End Seconds'!U22=O4),NA(),"")</f>
        <v/>
      </c>
      <c r="D44" s="59"/>
      <c r="E44" s="122" t="s">
        <v>196</v>
      </c>
      <c r="F44" s="144" t="str" cm="1">
        <f t="array" ref="F44">IF(AND(OR('Closed End Seconds'!U17=F7),OR('Closed End Seconds'!U18=I3),OR('Closed End Seconds'!U10=B8:B11),OR('Closed End Seconds'!U11=A10)),NA(),"")</f>
        <v/>
      </c>
      <c r="G44" s="152" t="s">
        <v>203</v>
      </c>
      <c r="H44" s="151"/>
      <c r="I44" s="147"/>
      <c r="J44" s="150"/>
      <c r="K44" s="146" t="s">
        <v>206</v>
      </c>
      <c r="L44" s="213" t="str" cm="1">
        <f t="array" ref="L44">IF(AND(OR('Closed End Seconds'!U17=F7),OR('Closed End Seconds'!U18=I5),OR('Closed End Seconds'!U10=B6:B11),OR('Closed End Seconds'!U11=A8:A10),OR('Closed End Seconds'!U13=C6)),NA(),"")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4" t="s">
        <v>165</v>
      </c>
      <c r="B45" s="125" t="str">
        <f>IF('Closed End Seconds'!U22=O3,NA(),"")</f>
        <v/>
      </c>
      <c r="D45" s="59"/>
      <c r="E45" s="142" t="s">
        <v>219</v>
      </c>
      <c r="F45" s="151"/>
      <c r="G45" s="152" t="s">
        <v>204</v>
      </c>
      <c r="H45" s="151"/>
      <c r="I45" s="214" t="s">
        <v>215</v>
      </c>
      <c r="J45" s="153" t="str" cm="1">
        <f t="array" ref="J45">IF(AND(OR('Closed End Seconds'!U10=B7:B11),OR('Closed End Seconds'!U19=H4),OR('Closed End Seconds'!U17=F8)),NA(),"")</f>
        <v/>
      </c>
      <c r="K45" s="146" t="s">
        <v>207</v>
      </c>
      <c r="L45" s="213" t="str" cm="1">
        <f t="array" ref="L45">IF(AND(OR('Closed End Seconds'!U17=F7),OR('Closed End Seconds'!U18=I5),OR('Closed End Seconds'!U10=B5:B11),OR('Closed End Seconds'!U11=A9:A10),OR('Closed End Seconds'!U13=C6)),NA(),"")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29" t="s">
        <v>181</v>
      </c>
      <c r="B46" s="130" t="str">
        <f>IF(AND('Closed End Seconds'!U13=C3,'Closed End Seconds'!U23=P3),NA(),"")</f>
        <v/>
      </c>
      <c r="C46" s="59"/>
      <c r="D46" s="59"/>
      <c r="E46" s="123" t="s">
        <v>220</v>
      </c>
      <c r="F46" s="144"/>
      <c r="G46" s="147" t="s">
        <v>247</v>
      </c>
      <c r="H46" s="143" t="str" cm="1">
        <f t="array" ref="H46">IF(AND(OR('Closed End Seconds'!U17=F7:F8),OR('Closed End Seconds'!U18=I3),OR('Closed End Seconds'!U10=B8:B11),OR('Closed End Seconds'!U11=A10),OR('Closed End Seconds'!U13=C5)),NA(),"")</f>
        <v/>
      </c>
      <c r="K46" s="146" t="s">
        <v>208</v>
      </c>
      <c r="L46" s="213" t="str" cm="1">
        <f t="array" ref="L46">IF(AND(OR('Closed End Seconds'!U17=F7),OR('Closed End Seconds'!U18=I5),OR('Closed End Seconds'!U10=B4:B11),OR('Closed End Seconds'!U11=A10),OR('Closed End Seconds'!U13=C6)),NA(),"")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29" t="s">
        <v>166</v>
      </c>
      <c r="B47" s="130" t="str">
        <f>IF('Closed End Seconds'!U23=P5,NA(),"")</f>
        <v/>
      </c>
      <c r="D47" s="59"/>
      <c r="E47" s="141" t="s">
        <v>255</v>
      </c>
      <c r="F47" s="143" t="str">
        <f>IF(AND(
ISNUMBER(MATCH('Closed End Seconds'!U17, F3:F6, 0)),
ISNUMBER(MATCH('Closed End Seconds'!U18, I5, 0)),
ISNUMBER(MATCH('Closed End Seconds'!U10, B9:B11, 0)),
ISNUMBER(MATCH('Closed End Seconds'!U11, A10, 0)),
'Closed End Seconds'!U13=C4
), NA(), "")</f>
        <v/>
      </c>
      <c r="G47" s="147" t="s">
        <v>228</v>
      </c>
      <c r="H47" s="143" t="str" cm="1">
        <f t="array" ref="H47">IF(AND(OR('Closed End Seconds'!U17=F3:F6),OR('Closed End Seconds'!U18=I5),OR('Closed End Seconds'!U10=B10:B11),OR('Closed End Seconds'!U13=C5)),NA(),"")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4" t="s">
        <v>168</v>
      </c>
      <c r="B48" s="125" t="str">
        <f>IF(E143="","",IF('Closed End Seconds'!U9&gt;E143,NA(),""))</f>
        <v/>
      </c>
      <c r="C48" s="59"/>
      <c r="D48" s="59"/>
      <c r="E48" s="142" t="s">
        <v>197</v>
      </c>
      <c r="F48" s="151"/>
      <c r="G48" s="152" t="s">
        <v>229</v>
      </c>
      <c r="H48" s="144" t="str" cm="1">
        <f t="array" ref="H48">IF(AND(OR('Closed End Seconds'!U17=F3:F6),OR('Closed End Seconds'!U18=I5),OR('Closed End Seconds'!U10=B8:B11),OR('Closed End Seconds'!U11=A9:A10),OR('Closed End Seconds'!U13=C5)),NA(),"")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29"/>
      <c r="B49" s="130"/>
      <c r="C49" s="59"/>
      <c r="D49" s="59"/>
      <c r="E49" s="123" t="s">
        <v>198</v>
      </c>
      <c r="F49" s="144" t="str" cm="1">
        <f t="array" ref="F49">IF(AND(OR('Closed End Seconds'!U17=F7),OR('Closed End Seconds'!U18=I5),OR('Closed End Seconds'!U10=B9:B11),OR('Closed End Seconds'!U11=A8)),NA(),"")</f>
        <v/>
      </c>
      <c r="G49" s="152" t="s">
        <v>230</v>
      </c>
      <c r="H49" s="144" t="str" cm="1">
        <f t="array" ref="H49">IF(AND(OR('Closed End Seconds'!U17=F3:F6),OR('Closed End Seconds'!U18=I5),OR('Closed End Seconds'!U10=B8:B11),OR('Closed End Seconds'!U11=A9),OR('Closed End Seconds'!U13=C5)),NA(),"")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29"/>
      <c r="B50" s="130"/>
      <c r="C50" s="59"/>
      <c r="D50" s="59"/>
      <c r="E50" s="141" t="s">
        <v>258</v>
      </c>
      <c r="F50" s="143" t="str" cm="1">
        <f t="array" ref="F50">IF(AND(OR('Closed End Seconds'!U17=F7),OR('Closed End Seconds'!U18=I5),OR('Closed End Seconds'!U10=B11),OR('Closed End Seconds'!U11=A9:A10)),NA(),"")</f>
        <v/>
      </c>
      <c r="G50" s="152" t="s">
        <v>232</v>
      </c>
      <c r="H50" s="144" t="str" cm="1">
        <f t="array" ref="H50">IF(AND(OR('Closed End Seconds'!U17=F3:F6),OR('Closed End Seconds'!U18=I5),OR('Closed End Seconds'!U10=B7:B11),OR('Closed End Seconds'!U11=A10),OR('Closed End Seconds'!U13=C5)),NA(),"")</f>
        <v/>
      </c>
      <c r="I50" s="152" t="s">
        <v>174</v>
      </c>
      <c r="J50" s="148" t="str" cm="1">
        <f t="array" ref="J50">IF(AND(OR('Closed End Seconds'!U13=C3),OR('Closed End Seconds'!U18=I4:I5)),NA(),"")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6"/>
      <c r="B51" s="130"/>
      <c r="C51" s="103"/>
      <c r="D51" s="59"/>
      <c r="E51" s="141" t="s">
        <v>256</v>
      </c>
      <c r="F51" s="143" t="str">
        <f>IF(AND(
ISNUMBER(MATCH('Closed End Seconds'!U17, F7, 0)),
ISNUMBER(MATCH('Closed End Seconds'!U18, I5, 0)),
ISNUMBER(MATCH('Closed End Seconds'!U10, B8:B11, 0)),
ISNUMBER(MATCH('Closed End Seconds'!U11, A10, 0)),
'Closed End Seconds'!U13=C4
), NA(), "")</f>
        <v/>
      </c>
      <c r="G51" s="152" t="s">
        <v>205</v>
      </c>
      <c r="H51" s="144"/>
      <c r="I51" s="214" t="s">
        <v>172</v>
      </c>
      <c r="J51" s="154" t="str">
        <f>IF(AND(OR('Closed End Seconds'!U13=C3),OR('Closed End Seconds'!U19=H4)),NA(),"")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29"/>
      <c r="B52" s="130"/>
      <c r="C52" s="103"/>
      <c r="D52" s="59"/>
      <c r="E52" s="123" t="s">
        <v>221</v>
      </c>
      <c r="F52" s="144" t="str" cm="1">
        <f t="array" ref="F52">IF(AND(OR('Closed End Seconds'!U17=F3:F6),OR('Closed End Seconds'!U18=I4),OR('Closed End Seconds'!U10=B10:B11)),NA(),"")</f>
        <v/>
      </c>
      <c r="G52" s="152" t="s">
        <v>206</v>
      </c>
      <c r="H52" s="144" t="str" cm="1">
        <f t="array" ref="H52">IF(AND(OR('Closed End Seconds'!U17=F7),OR('Closed End Seconds'!U18=I5),OR('Closed End Seconds'!U10=B6:B11),OR('Closed End Seconds'!U11=A10),OR('Closed End Seconds'!U13=C5)),NA(),"")</f>
        <v/>
      </c>
      <c r="I52" s="152" t="s">
        <v>173</v>
      </c>
      <c r="J52" s="144" t="str">
        <f>IF(AND(OR('Closed End Seconds'!U13=C3),OR('Closed End Seconds'!U12=M4)),NA(),"")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1"/>
      <c r="B53" s="130"/>
      <c r="C53" s="103"/>
      <c r="D53" s="59"/>
      <c r="E53" s="123" t="s">
        <v>222</v>
      </c>
      <c r="F53" s="144" t="str" cm="1">
        <f t="array" ref="F53">IF(AND(OR('Closed End Seconds'!U17=F3:F6),OR('Closed End Seconds'!U18=I4),OR('Closed End Seconds'!U10=B9:B11),OR('Closed End Seconds'!U11=A9:A10)),NA(),"")</f>
        <v/>
      </c>
      <c r="G53" s="152" t="s">
        <v>207</v>
      </c>
      <c r="H53" s="144" t="str" cm="1">
        <f t="array" ref="H53">IF(AND(OR('Closed End Seconds'!U17=F8),OR('Closed End Seconds'!U18=I5),OR('Closed End Seconds'!U10=B5:B11),OR('Closed End Seconds'!U11=A10),OR('Closed End Seconds'!U13=C5)),NA(),"")</f>
        <v/>
      </c>
      <c r="I53" s="152" t="s">
        <v>175</v>
      </c>
      <c r="J53" s="145" t="str">
        <f>IF(AND(OR('Closed End Seconds'!U11=A10),OR('Closed End Seconds'!U13=C3)),NA(),"")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1"/>
      <c r="B54" s="130"/>
      <c r="C54" s="103"/>
      <c r="D54" s="59"/>
      <c r="E54" s="123" t="s">
        <v>223</v>
      </c>
      <c r="F54" s="144" t="str" cm="1">
        <f t="array" ref="F54">IF(AND(OR('Closed End Seconds'!U17=F3:F6),OR('Closed End Seconds'!U18=I4),OR('Closed End Seconds'!U10=B6:B11),OR('Closed End Seconds'!U11=A10)),NA(),"")</f>
        <v/>
      </c>
      <c r="G54" s="152" t="s">
        <v>208</v>
      </c>
      <c r="H54" s="144" t="str" cm="1">
        <f t="array" ref="H54">IF(AND(OR('Closed End Seconds'!U17=F8),OR('Closed End Seconds'!U18=I5),OR('Closed End Seconds'!U10=B4:B11),OR('Closed End Seconds'!U11=A9),OR('Closed End Seconds'!U13=C5)),NA(),"")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1"/>
      <c r="B55" s="125"/>
      <c r="D55" s="59"/>
      <c r="E55" s="123" t="s">
        <v>199</v>
      </c>
      <c r="F55" s="144" t="str" cm="1">
        <f t="array" ref="F55">IF(AND(OR('Closed End Seconds'!U17=F7),OR('Closed End Seconds'!U18=I4),OR('Closed End Seconds'!U10=B8:B11)),NA(),"")</f>
        <v/>
      </c>
      <c r="G55" s="152" t="s">
        <v>233</v>
      </c>
      <c r="H55" s="144" t="str" cm="1">
        <f t="array" ref="H55">IF(AND(OR('Closed End Seconds'!U17=F3:F6),OR('Closed End Seconds'!U18=I4),OR('Closed End Seconds'!U10=B9:B11),OR('Closed End Seconds'!U13=C5)),NA(),"")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1"/>
      <c r="B56" s="125"/>
      <c r="D56" s="59"/>
      <c r="E56" s="123" t="s">
        <v>200</v>
      </c>
      <c r="F56" s="144" t="str" cm="1">
        <f t="array" ref="F56">IF(AND(OR('Closed End Seconds'!U17=F7),OR('Closed End Seconds'!U18=I4),OR('Closed End Seconds'!U10=B7:B11),OR('Closed End Seconds'!U11=A9:A10)),NA(),"")</f>
        <v/>
      </c>
      <c r="G56" s="152" t="s">
        <v>234</v>
      </c>
      <c r="H56" s="144" t="str" cm="1">
        <f t="array" ref="H56">IF(AND(OR('Closed End Seconds'!U17=F3:F6),OR('Closed End Seconds'!U18=I4),OR('Closed End Seconds'!U10=B8:B11),OR('Closed End Seconds'!U11=A8:A10),OR('Closed End Seconds'!U13=C5)),NA(),"")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1"/>
      <c r="B57" s="125"/>
      <c r="D57" s="59"/>
      <c r="E57" s="123" t="s">
        <v>201</v>
      </c>
      <c r="F57" s="144" t="str" cm="1">
        <f t="array" ref="F57">IF(AND(OR('Closed End Seconds'!U17=F7),OR('Closed End Seconds'!U18=I4),OR('Closed End Seconds'!U10=B6:B11),OR('Closed End Seconds'!U11=A10)),NA(),"")</f>
        <v/>
      </c>
      <c r="G57" s="152" t="s">
        <v>235</v>
      </c>
      <c r="H57" s="144" t="str" cm="1">
        <f t="array" ref="H57">IF(AND(OR('Closed End Seconds'!U17=F3:F6),OR('Closed End Seconds'!U18=I4),OR('Closed End Seconds'!U10=B7:B11),OR('Closed End Seconds'!U11=A9:A10),OR('Closed End Seconds'!U13=C5)),NA(),"")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1"/>
      <c r="B58" s="125"/>
      <c r="D58" s="59"/>
      <c r="E58" s="140" t="s">
        <v>246</v>
      </c>
      <c r="F58" s="144" t="str">
        <f>IF(AND(ISNUMBER(MATCH('Closed End Seconds'!U17,F8,0)),ISNUMBER(MATCH('Closed End Seconds'!U18,I3,0)),ISNUMBER(MATCH('Closed End Seconds'!U10,B10:B11,0)),
ISNUMBER(MATCH('Closed End Seconds'!U11,A3:A10,0)),'Closed End Seconds'!U13=C4),NA(),"")</f>
        <v/>
      </c>
      <c r="G58" s="152" t="s">
        <v>223</v>
      </c>
      <c r="H58" s="144" t="str" cm="1">
        <f t="array" ref="H58">IF(AND(OR('Closed End Seconds'!U17=F3:F6),OR('Closed End Seconds'!U18=I4),OR('Closed End Seconds'!U10=B6:B11),OR('Closed End Seconds'!U11=A10),OR('Closed End Seconds'!U13=C5)),NA(),"")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1"/>
      <c r="B59" s="130"/>
      <c r="C59" s="59"/>
      <c r="E59" s="141" t="s">
        <v>257</v>
      </c>
      <c r="F59" s="144" t="str">
        <f>IF(AND(
ISNUMBER(MATCH('Closed End Seconds'!U17,F8,0)),ISNUMBER(MATCH('Closed End Seconds'!U18,I5,0)),ISNUMBER(MATCH('Closed End Seconds'!U10,B7:B11,0)),
ISNUMBER(MATCH('Closed End Seconds'!U11,A10,0)),'Closed End Seconds'!U13=C4),NA(),"")</f>
        <v/>
      </c>
      <c r="G59" s="152" t="s">
        <v>209</v>
      </c>
      <c r="H59" s="144" t="str" cm="1">
        <f t="array" ref="H59">IF(AND(OR('Closed End Seconds'!U17=F7),OR('Closed End Seconds'!U18=I4),OR('Closed End Seconds'!U10=B7:B11),OR('Closed End Seconds'!U13=C5)),NA(),"")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6"/>
      <c r="B60" s="130"/>
      <c r="E60" s="141" t="s">
        <v>259</v>
      </c>
      <c r="F60" s="144" t="str">
        <f>IF(AND(ISNUMBER(MATCH('Closed End Seconds'!U17,F3:F6,0)),ISNUMBER(MATCH('Closed End Seconds'!U18,I5,0)),
ISNUMBER(MATCH('Closed End Seconds'!U10,B9:B11,0)),ISNUMBER(MATCH('Closed End Seconds'!U11,A10,0)),'Closed End Seconds'!U13=C4),NA(),"")</f>
        <v/>
      </c>
      <c r="G60" s="152" t="s">
        <v>210</v>
      </c>
      <c r="H60" s="144" t="str" cm="1">
        <f t="array" ref="H60">IF(AND(OR('Closed End Seconds'!U17=F7),OR('Closed End Seconds'!U18=I4),OR('Closed End Seconds'!U10=B6:B11),OR('Closed End Seconds'!U11=A8:A10),OR('Closed End Seconds'!U13=C5)),NA(),"")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6"/>
      <c r="B61" s="130"/>
      <c r="E61" s="141" t="s">
        <v>260</v>
      </c>
      <c r="F61" s="144" t="str">
        <f>IF(AND(
ISNUMBER(MATCH('Closed End Seconds'!U17, F7, 0)),
ISNUMBER(MATCH('Closed End Seconds'!U18, I5, 0)),
ISNUMBER(MATCH('Closed End Seconds'!U10, B7:B11, 0)),
ISNUMBER(MATCH('Closed End Seconds'!U11, A10, 0)),
'Closed End Seconds'!U13=C4
), NA(), "")</f>
        <v/>
      </c>
      <c r="G61" s="152" t="s">
        <v>211</v>
      </c>
      <c r="H61" s="144" t="str" cm="1">
        <f t="array" ref="H61">IF(AND(OR('Closed End Seconds'!U17=F7),OR('Closed End Seconds'!U18=I4),OR('Closed End Seconds'!U10=B5:B11),OR('Closed End Seconds'!U11=A9:A10),OR('Closed End Seconds'!U13=C5)),NA(),"")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4"/>
      <c r="B62" s="125"/>
      <c r="E62" s="141" t="s">
        <v>261</v>
      </c>
      <c r="F62" s="144" t="str">
        <f>IF(AND(
ISNUMBER(MATCH('Closed End Seconds'!U17, F8, 0)),
ISNUMBER(MATCH('Closed End Seconds'!U18, I5, 0)),
ISNUMBER(MATCH('Closed End Seconds'!U10, B6:B11, 0)),
ISNUMBER(MATCH('Closed End Seconds'!U11, A10, 0)),
'Closed End Seconds'!U13=C4
), NA(), "")</f>
        <v/>
      </c>
      <c r="G62" s="152" t="s">
        <v>212</v>
      </c>
      <c r="H62" s="144" t="str" cm="1">
        <f t="array" ref="H62">IF(AND(OR('Closed End Seconds'!U17=F7),OR('Closed End Seconds'!U18=I4),OR('Closed End Seconds'!U10=B4:B11),OR('Closed End Seconds'!U11=A10),OR('Closed End Seconds'!U13=C5)),NA(),"")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2"/>
      <c r="B63" s="133" t="str" cm="1">
        <f t="array" ref="B63">IF(AND(OR('Closed End Seconds'!U10=B11:B12),OR('Closed End Seconds'!U20=J5:J6,'Closed End Seconds'!U20=J9,'Closed End Seconds'!U20=J12)),NA(),"")</f>
        <v/>
      </c>
      <c r="E63" s="141" t="s">
        <v>262</v>
      </c>
      <c r="F63" s="144" t="str">
        <f>IF(AND(
ISNUMBER(MATCH('Closed End Seconds'!U17, F8, 0)),
ISNUMBER(MATCH('Closed End Seconds'!U18, I5, 0)),
ISNUMBER(MATCH('Closed End Seconds'!U10, B7:B11, 0)),
ISNUMBER(MATCH('Closed End Seconds'!U11, A9, 0)),
'Closed End Seconds'!U13=C4
), NA(), "")</f>
        <v/>
      </c>
      <c r="G63" s="147" t="s">
        <v>250</v>
      </c>
      <c r="H63" s="144" t="str">
        <f>IF(AND(
ISNUMBER(MATCH('Closed End Seconds'!U17, F8, 0)),
ISNUMBER(MATCH('Closed End Seconds'!U18, I3, 0)),
ISNUMBER(MATCH('Closed End Seconds'!U10, B8:B11, 0)),
ISNUMBER(MATCH('Closed End Seconds'!U11, A9:A10, 0)),
'Closed End Seconds'!U13=C5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4" t="s">
        <v>120</v>
      </c>
      <c r="B64" s="135">
        <f>SUM(B39:B63)+SUM(F39:F76)+SUM(H39:H76)+SUM(L39:L71)+SUM(J39:J71)+SUM(Z43:Z45)+SUM(AD43)</f>
        <v>0</v>
      </c>
      <c r="E64" s="141" t="s">
        <v>263</v>
      </c>
      <c r="F64" s="144" t="str">
        <f>IF(AND(
ISNUMBER(MATCH('Closed End Seconds'!U17, F7, 0)),
ISNUMBER(MATCH('Closed End Seconds'!U18, I5, 0)),
ISNUMBER(MATCH('Closed End Seconds'!U10, B8:B11, 0)),
ISNUMBER(MATCH('Closed End Seconds'!U11, A9, 0)),
'Closed End Seconds'!U13=C4
), NA(), "")</f>
        <v/>
      </c>
      <c r="G64" s="147" t="s">
        <v>249</v>
      </c>
      <c r="H64" s="143" t="str">
        <f>IF(AND(
ISNUMBER(MATCH('Closed End Seconds'!U17, F7:F8, 0)),
ISNUMBER(MATCH('Closed End Seconds'!U18, I3, 0)),
ISNUMBER(MATCH('Closed End Seconds'!U10, B10:B11, 0)),
ISNUMBER(MATCH('Closed End Seconds'!U11, A8:A10, 0)),
'Closed End Seconds'!U13=C5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1" t="s">
        <v>264</v>
      </c>
      <c r="F65" s="144" t="str">
        <f>IF(AND(
ISNUMBER(MATCH('Closed End Seconds'!U17, F3:F6, 0)),
ISNUMBER(MATCH('Closed End Seconds'!U18, I5, 0)),
ISNUMBER(MATCH('Closed End Seconds'!U10, B10:B11, 0)),
ISNUMBER(MATCH('Closed End Seconds'!U11, A9, 0)),
'Closed End Seconds'!U13=C4
), NA(), "")</f>
        <v/>
      </c>
      <c r="G65" s="147" t="s">
        <v>251</v>
      </c>
      <c r="H65" s="144" t="str">
        <f>IF(AND(
ISNUMBER(MATCH('Closed End Seconds'!U17, F8, 0)),
ISNUMBER(MATCH('Closed End Seconds'!U18, I3, 0)),
ISNUMBER(MATCH('Closed End Seconds'!U10, B9:B11, 0)),
ISNUMBER(MATCH('Closed End Seconds'!U11, A8:A10, 0)),
'Closed End Seconds'!U13=C5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1" t="s">
        <v>265</v>
      </c>
      <c r="F66" s="144" t="str">
        <f>IF(AND(
ISNUMBER(MATCH('Closed End Seconds'!U17, F3:F6, 0)),
ISNUMBER(MATCH('Closed End Seconds'!U18, I5, 0)),
ISNUMBER(MATCH('Closed End Seconds'!U10, B11, 0)),
ISNUMBER(MATCH('Closed End Seconds'!U11, A3:A8, 0)),
'Closed End Seconds'!U13=C4
), NA(), "")</f>
        <v/>
      </c>
      <c r="G66" s="147" t="s">
        <v>252</v>
      </c>
      <c r="H66" s="144" t="str">
        <f>IF(AND(
ISNUMBER(MATCH('Closed End Seconds'!U17, F7:F8, 0)),
ISNUMBER(MATCH('Closed End Seconds'!U18, I3, 0)),
ISNUMBER(MATCH('Closed End Seconds'!U10, B11, 0)),
ISNUMBER(MATCH('Closed End Seconds'!U11, A3:A7, 0)),
'Closed End Seconds'!U13=C5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29" t="s">
        <v>296</v>
      </c>
      <c r="B67" s="230" t="b" cm="1">
        <f t="array" ref="B67">IF(OR('Closed End Seconds'!U10=B3:B11),0.25)</f>
        <v>0</v>
      </c>
      <c r="C67"/>
      <c r="E67" s="141" t="s">
        <v>266</v>
      </c>
      <c r="F67" s="144" t="str">
        <f>IF(AND(
ISNUMBER(MATCH('Closed End Seconds'!U17, F7, 0)),
ISNUMBER(MATCH('Closed End Seconds'!U18, I5, 0)),
ISNUMBER(MATCH('Closed End Seconds'!U10, B9:B11, 0)),
ISNUMBER(MATCH('Closed End Seconds'!U11, A8, 0)),
'Closed End Seconds'!U13=C4
), NA(), "")</f>
        <v/>
      </c>
      <c r="G67" s="147" t="s">
        <v>253</v>
      </c>
      <c r="H67" s="144" t="str">
        <f>IF(AND(
ISNUMBER(MATCH('Closed End Seconds'!U17, F8, 0)),
ISNUMBER(MATCH('Closed End Seconds'!U18, I3, 0)),
ISNUMBER(MATCH('Closed End Seconds'!U10, B10:B11, 0)),
ISNUMBER(MATCH('Closed End Seconds'!U11, A3:A7, 0)),
'Closed End Seconds'!U13=C5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1" t="s">
        <v>267</v>
      </c>
      <c r="F68" s="144" t="str">
        <f>IF(AND(
ISNUMBER(MATCH('Closed End Seconds'!U17, F8, 0)),
ISNUMBER(MATCH('Closed End Seconds'!U18, I5, 0)),
ISNUMBER(MATCH('Closed End Seconds'!U10, B8:B11, 0)),
ISNUMBER(MATCH('Closed End Seconds'!U11, A8, 0)),
'Closed End Seconds'!U13=C4
), NA(), "")</f>
        <v/>
      </c>
      <c r="G68" s="147" t="s">
        <v>254</v>
      </c>
      <c r="H68" s="144" t="str">
        <f>IF(AND(
ISNUMBER(MATCH('Closed End Seconds'!U17, F8, 0)),
ISNUMBER(MATCH('Closed End Seconds'!U18, I3, 0)),
ISNUMBER(MATCH('Closed End Seconds'!U10, B7:B11, 0)),
ISNUMBER(MATCH('Closed End Seconds'!U11, A10, 0)),
'Closed End Seconds'!U13=C5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1" t="s">
        <v>268</v>
      </c>
      <c r="F69" s="144" t="str">
        <f>IF(AND(
ISNUMBER(MATCH('Closed End Seconds'!U17, F7, 0)),
ISNUMBER(MATCH('Closed End Seconds'!U18, I5, 0)),
ISNUMBER(MATCH('Closed End Seconds'!U10, B10:B11, 0)),
ISNUMBER(MATCH('Closed End Seconds'!U11, A3:A7, 0)),
'Closed End Seconds'!U13=C4
), NA(), "")</f>
        <v/>
      </c>
      <c r="G69" s="147" t="s">
        <v>270</v>
      </c>
      <c r="H69" s="144" t="str">
        <f>IF(AND(
ISNUMBER(MATCH('Closed End Seconds'!U17, F8, 0)),
ISNUMBER(MATCH('Closed End Seconds'!U18, I5, 0)),
ISNUMBER(MATCH('Closed End Seconds'!U10, B7:B11, 0)),
ISNUMBER(MATCH('Closed End Seconds'!U11, A10, 0)),
'Closed End Seconds'!U13=C5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1" t="s">
        <v>269</v>
      </c>
      <c r="F70" s="145" t="str">
        <f>IF(AND(
ISNUMBER(MATCH('Closed End Seconds'!U17, F8, 0)),
ISNUMBER(MATCH('Closed End Seconds'!U18, I5, 0)),
ISNUMBER(MATCH('Closed End Seconds'!U10, B9:B11, 0)),
ISNUMBER(MATCH('Closed End Seconds'!U11, A3:A7, 0)),
'Closed End Seconds'!U13=C4
), NA(), "")</f>
        <v/>
      </c>
      <c r="G70" s="147" t="s">
        <v>271</v>
      </c>
      <c r="H70" s="144" t="str">
        <f>IF(AND(
ISNUMBER(MATCH('Closed End Seconds'!U17, F7, 0)),
ISNUMBER(MATCH('Closed End Seconds'!U18, I5, 0)),
ISNUMBER(MATCH('Closed End Seconds'!U10, B8:B11, 0)),
ISNUMBER(MATCH('Closed End Seconds'!U11, A8, 0)),
'Closed End Seconds'!U13=C5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0" t="s">
        <v>272</v>
      </c>
      <c r="H71" s="144" t="str">
        <f>IF(AND(
ISNUMBER(MATCH('Closed End Seconds'!U17, F8, 0)),
ISNUMBER(MATCH('Closed End Seconds'!U18, I5, 0)),
ISNUMBER(MATCH('Closed End Seconds'!U10, B7:B11, 0)),
ISNUMBER(MATCH('Closed End Seconds'!U11, A8, 0)),
'Closed End Seconds'!U13=C5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0" t="s">
        <v>273</v>
      </c>
      <c r="H72" s="144" t="str">
        <f>IF(AND(
ISNUMBER(MATCH('Closed End Seconds'!U17, F7, 0)),
ISNUMBER(MATCH('Closed End Seconds'!U18, I5, 0)),
ISNUMBER(MATCH('Closed End Seconds'!U10, B10:B11, 0)),
ISNUMBER(MATCH('Closed End Seconds'!U11, A3:A7, 0)),
'Closed End Seconds'!U13=C5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0" t="s">
        <v>274</v>
      </c>
      <c r="H73" s="145" t="str">
        <f>IF(AND(
ISNUMBER(MATCH('Closed End Seconds'!U17, F8, 0)),
ISNUMBER(MATCH('Closed End Seconds'!U18, I5, 0)),
ISNUMBER(MATCH('Closed End Seconds'!U10, B8:B11, 0)),
ISNUMBER(MATCH('Closed End Seconds'!U11, A3:A7, 0)),
'Closed End Seconds'!U13=C5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314" t="s">
        <v>0</v>
      </c>
      <c r="C80" s="315"/>
      <c r="D80" s="315"/>
      <c r="E80" s="315"/>
      <c r="F80"/>
      <c r="I80" s="137" t="s">
        <v>0</v>
      </c>
      <c r="J80" s="138"/>
      <c r="K80" s="138"/>
      <c r="L80" s="139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186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186</v>
      </c>
      <c r="M81"/>
      <c r="N81" s="81">
        <v>0</v>
      </c>
    </row>
    <row r="82" spans="2:37">
      <c r="B82" s="92">
        <f>'Closed End Seconds'!B12</f>
        <v>7.25</v>
      </c>
      <c r="C82" s="93">
        <f>'Closed End Seconds'!C12</f>
        <v>98.625</v>
      </c>
      <c r="D82" s="93">
        <f>'Closed End Seconds'!D12</f>
        <v>98.125</v>
      </c>
      <c r="E82" s="105">
        <f>'Closed End Seconds'!E12</f>
        <v>0</v>
      </c>
      <c r="F82"/>
      <c r="G82" s="52" t="e">
        <f>SUM('Closed End Seconds'!V11:V25)+B64</f>
        <v>#N/A</v>
      </c>
      <c r="H82" s="53">
        <v>1</v>
      </c>
      <c r="I82" s="58">
        <f t="shared" ref="I82:I123" si="0">B82</f>
        <v>7.25</v>
      </c>
      <c r="J82" s="94" t="e">
        <f t="shared" ref="J82:J95" si="1">C82+$G$82</f>
        <v>#N/A</v>
      </c>
      <c r="K82" s="94" t="e">
        <f t="shared" ref="K82:K95" si="2">D82+$G$82</f>
        <v>#N/A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Seconds'!B13</f>
        <v>7.375</v>
      </c>
      <c r="C83" s="1">
        <f>'Closed End Seconds'!C13</f>
        <v>99.25</v>
      </c>
      <c r="D83" s="1">
        <f>'Closed End Seconds'!D13</f>
        <v>98.75</v>
      </c>
      <c r="E83" s="106">
        <f>'Closed End Seconds'!E13</f>
        <v>0</v>
      </c>
      <c r="F83"/>
      <c r="G83" s="48" t="s">
        <v>118</v>
      </c>
      <c r="H83" s="53">
        <v>2</v>
      </c>
      <c r="I83" s="68">
        <f t="shared" si="0"/>
        <v>7.375</v>
      </c>
      <c r="J83" s="69" t="e">
        <f t="shared" si="1"/>
        <v>#N/A</v>
      </c>
      <c r="K83" s="69" t="e">
        <f t="shared" si="2"/>
        <v>#N/A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Seconds'!B14</f>
        <v>7.4989999999999997</v>
      </c>
      <c r="C84" s="1">
        <f>'Closed End Seconds'!C14</f>
        <v>99.875</v>
      </c>
      <c r="D84" s="1">
        <f>'Closed End Seconds'!D14</f>
        <v>99.375</v>
      </c>
      <c r="E84" s="106">
        <f>'Closed End Seconds'!E14</f>
        <v>0</v>
      </c>
      <c r="F84"/>
      <c r="G84" s="48" t="s">
        <v>40</v>
      </c>
      <c r="H84" s="53">
        <v>3</v>
      </c>
      <c r="I84" s="68">
        <f t="shared" si="0"/>
        <v>7.4989999999999997</v>
      </c>
      <c r="J84" s="69" t="e">
        <f t="shared" si="1"/>
        <v>#N/A</v>
      </c>
      <c r="K84" s="69" t="e">
        <f t="shared" si="2"/>
        <v>#N/A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Seconds'!B15</f>
        <v>7.625</v>
      </c>
      <c r="C85" s="1">
        <f>'Closed End Seconds'!C15</f>
        <v>100.3125</v>
      </c>
      <c r="D85" s="1">
        <f>'Closed End Seconds'!D15</f>
        <v>99.8125</v>
      </c>
      <c r="E85" s="106">
        <f>'Closed End Seconds'!E15</f>
        <v>0</v>
      </c>
      <c r="F85"/>
      <c r="G85" s="52" t="e">
        <f>'Closed End Seconds'!V30</f>
        <v>#N/A</v>
      </c>
      <c r="H85" s="53">
        <v>4</v>
      </c>
      <c r="I85" s="68">
        <f t="shared" si="0"/>
        <v>7.625</v>
      </c>
      <c r="J85" s="69" t="e">
        <f t="shared" si="1"/>
        <v>#N/A</v>
      </c>
      <c r="K85" s="69" t="e">
        <f t="shared" si="2"/>
        <v>#N/A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Seconds'!B16</f>
        <v>7.75</v>
      </c>
      <c r="C86" s="1">
        <f>'Closed End Seconds'!C16</f>
        <v>100.75</v>
      </c>
      <c r="D86" s="1">
        <f>'Closed End Seconds'!D16</f>
        <v>100.25</v>
      </c>
      <c r="E86" s="106">
        <f>'Closed End Seconds'!E16</f>
        <v>0</v>
      </c>
      <c r="F86"/>
      <c r="H86" s="53">
        <v>5</v>
      </c>
      <c r="I86" s="68">
        <f t="shared" si="0"/>
        <v>7.75</v>
      </c>
      <c r="J86" s="69" t="e">
        <f t="shared" si="1"/>
        <v>#N/A</v>
      </c>
      <c r="K86" s="69" t="e">
        <f t="shared" si="2"/>
        <v>#N/A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Seconds'!B17</f>
        <v>7.875</v>
      </c>
      <c r="C87" s="1">
        <f>'Closed End Seconds'!C17</f>
        <v>101.1875</v>
      </c>
      <c r="D87" s="1">
        <f>'Closed End Seconds'!D17</f>
        <v>100.6875</v>
      </c>
      <c r="E87" s="106">
        <f>'Closed End Seconds'!E17</f>
        <v>0</v>
      </c>
      <c r="F87"/>
      <c r="H87" s="53">
        <v>6</v>
      </c>
      <c r="I87" s="68">
        <f t="shared" si="0"/>
        <v>7.875</v>
      </c>
      <c r="J87" s="69" t="e">
        <f t="shared" si="1"/>
        <v>#N/A</v>
      </c>
      <c r="K87" s="69" t="e">
        <f t="shared" si="2"/>
        <v>#N/A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Seconds'!B18</f>
        <v>7.9989999999999997</v>
      </c>
      <c r="C88" s="1">
        <f>'Closed End Seconds'!C18</f>
        <v>101.59375</v>
      </c>
      <c r="D88" s="1">
        <f>'Closed End Seconds'!D18</f>
        <v>101.09375</v>
      </c>
      <c r="E88" s="106">
        <f>'Closed End Seconds'!E18</f>
        <v>0</v>
      </c>
      <c r="F88"/>
      <c r="H88" s="53">
        <v>7</v>
      </c>
      <c r="I88" s="68">
        <f t="shared" si="0"/>
        <v>7.9989999999999997</v>
      </c>
      <c r="J88" s="69" t="e">
        <f t="shared" si="1"/>
        <v>#N/A</v>
      </c>
      <c r="K88" s="69" t="e">
        <f t="shared" si="2"/>
        <v>#N/A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Seconds'!B19</f>
        <v>8.125</v>
      </c>
      <c r="C89" s="1">
        <f>'Closed End Seconds'!C19</f>
        <v>102</v>
      </c>
      <c r="D89" s="1">
        <f>'Closed End Seconds'!D19</f>
        <v>101.5</v>
      </c>
      <c r="E89" s="106">
        <f>'Closed End Seconds'!E19</f>
        <v>0</v>
      </c>
      <c r="F89"/>
      <c r="G89" s="48" t="str">
        <f>IF('Closed End Seconds'!U13=C3,C4,'Closed End Seconds'!U13)</f>
        <v>Choose a Selection</v>
      </c>
      <c r="H89" s="53">
        <v>8</v>
      </c>
      <c r="I89" s="68">
        <f t="shared" si="0"/>
        <v>8.125</v>
      </c>
      <c r="J89" s="69" t="e">
        <f t="shared" si="1"/>
        <v>#N/A</v>
      </c>
      <c r="K89" s="69" t="e">
        <f t="shared" si="2"/>
        <v>#N/A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Seconds'!B20</f>
        <v>8.25</v>
      </c>
      <c r="C90" s="1">
        <f>'Closed End Seconds'!C20</f>
        <v>102.40625</v>
      </c>
      <c r="D90" s="1">
        <f>'Closed End Seconds'!D20</f>
        <v>101.90625</v>
      </c>
      <c r="E90" s="106">
        <f>'Closed End Seconds'!E20</f>
        <v>0</v>
      </c>
      <c r="F90"/>
      <c r="H90" s="53">
        <v>9</v>
      </c>
      <c r="I90" s="68">
        <f t="shared" si="0"/>
        <v>8.25</v>
      </c>
      <c r="J90" s="69" t="e">
        <f t="shared" si="1"/>
        <v>#N/A</v>
      </c>
      <c r="K90" s="69" t="e">
        <f t="shared" si="2"/>
        <v>#N/A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Seconds'!B21</f>
        <v>8.375</v>
      </c>
      <c r="C91" s="1">
        <f>'Closed End Seconds'!C21</f>
        <v>102.78125</v>
      </c>
      <c r="D91" s="1">
        <f>'Closed End Seconds'!D21</f>
        <v>102.28125</v>
      </c>
      <c r="E91" s="106">
        <f>'Closed End Seconds'!E21</f>
        <v>0</v>
      </c>
      <c r="F91"/>
      <c r="H91" s="53">
        <v>10</v>
      </c>
      <c r="I91" s="68">
        <f t="shared" si="0"/>
        <v>8.375</v>
      </c>
      <c r="J91" s="69" t="e">
        <f t="shared" si="1"/>
        <v>#N/A</v>
      </c>
      <c r="K91" s="69" t="e">
        <f t="shared" si="2"/>
        <v>#N/A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Seconds'!B22</f>
        <v>8.4990000000000006</v>
      </c>
      <c r="C92" s="1">
        <f>'Closed End Seconds'!C22</f>
        <v>103.15625</v>
      </c>
      <c r="D92" s="1">
        <f>'Closed End Seconds'!D22</f>
        <v>102.65625</v>
      </c>
      <c r="E92" s="106">
        <f>'Closed End Seconds'!E22</f>
        <v>99.9</v>
      </c>
      <c r="F92"/>
      <c r="H92" s="53">
        <v>11</v>
      </c>
      <c r="I92" s="68">
        <f t="shared" si="0"/>
        <v>8.4990000000000006</v>
      </c>
      <c r="J92" s="69" t="e">
        <f t="shared" si="1"/>
        <v>#N/A</v>
      </c>
      <c r="K92" s="69" t="e">
        <f t="shared" si="2"/>
        <v>#N/A</v>
      </c>
      <c r="L92" s="70" t="e">
        <f t="shared" si="3"/>
        <v>#N/A</v>
      </c>
      <c r="M92"/>
      <c r="N92" s="52">
        <v>8.4990000000000006</v>
      </c>
      <c r="P92" s="52"/>
    </row>
    <row r="93" spans="2:37">
      <c r="B93" s="2">
        <f>'Closed End Seconds'!B23</f>
        <v>8.625</v>
      </c>
      <c r="C93" s="1">
        <f>'Closed End Seconds'!C23</f>
        <v>103.53125</v>
      </c>
      <c r="D93" s="1">
        <f>'Closed End Seconds'!D23</f>
        <v>103.03125</v>
      </c>
      <c r="E93" s="106">
        <f>'Closed End Seconds'!E23</f>
        <v>100.15</v>
      </c>
      <c r="F93"/>
      <c r="H93" s="53">
        <v>12</v>
      </c>
      <c r="I93" s="68">
        <f t="shared" si="0"/>
        <v>8.625</v>
      </c>
      <c r="J93" s="69" t="e">
        <f t="shared" si="1"/>
        <v>#N/A</v>
      </c>
      <c r="K93" s="69" t="e">
        <f t="shared" si="2"/>
        <v>#N/A</v>
      </c>
      <c r="L93" s="70" t="e">
        <f t="shared" si="3"/>
        <v>#N/A</v>
      </c>
      <c r="M93"/>
      <c r="N93" s="52">
        <v>8.625</v>
      </c>
    </row>
    <row r="94" spans="2:37">
      <c r="B94" s="2">
        <f>'Closed End Seconds'!B24</f>
        <v>8.75</v>
      </c>
      <c r="C94" s="1">
        <f>'Closed End Seconds'!C24</f>
        <v>103.84375</v>
      </c>
      <c r="D94" s="1">
        <f>'Closed End Seconds'!D24</f>
        <v>103.34375</v>
      </c>
      <c r="E94" s="106">
        <f>'Closed End Seconds'!E24</f>
        <v>100.4</v>
      </c>
      <c r="F94"/>
      <c r="H94" s="53">
        <v>13</v>
      </c>
      <c r="I94" s="68">
        <f t="shared" si="0"/>
        <v>8.75</v>
      </c>
      <c r="J94" s="69" t="e">
        <f t="shared" si="1"/>
        <v>#N/A</v>
      </c>
      <c r="K94" s="69" t="e">
        <f t="shared" si="2"/>
        <v>#N/A</v>
      </c>
      <c r="L94" s="70" t="e">
        <f t="shared" si="3"/>
        <v>#N/A</v>
      </c>
      <c r="M94"/>
      <c r="N94" s="52">
        <v>8.75</v>
      </c>
    </row>
    <row r="95" spans="2:37">
      <c r="B95" s="2">
        <f>'Closed End Seconds'!B25</f>
        <v>8.875</v>
      </c>
      <c r="C95" s="1">
        <f>'Closed End Seconds'!C25</f>
        <v>104.15625</v>
      </c>
      <c r="D95" s="1">
        <f>'Closed End Seconds'!D25</f>
        <v>103.65625</v>
      </c>
      <c r="E95" s="106">
        <f>'Closed End Seconds'!E25</f>
        <v>100.65</v>
      </c>
      <c r="F95"/>
      <c r="H95" s="53">
        <v>14</v>
      </c>
      <c r="I95" s="68">
        <f t="shared" si="0"/>
        <v>8.875</v>
      </c>
      <c r="J95" s="69" t="e">
        <f t="shared" si="1"/>
        <v>#N/A</v>
      </c>
      <c r="K95" s="69" t="e">
        <f t="shared" si="2"/>
        <v>#N/A</v>
      </c>
      <c r="L95" s="70" t="e">
        <f t="shared" si="3"/>
        <v>#N/A</v>
      </c>
      <c r="M95"/>
      <c r="N95" s="52">
        <v>8.875</v>
      </c>
    </row>
    <row r="96" spans="2:37">
      <c r="B96" s="2">
        <f>'Closed End Seconds'!B26</f>
        <v>8.9990000000000006</v>
      </c>
      <c r="C96" s="1">
        <f>'Closed End Seconds'!C26</f>
        <v>104.46875</v>
      </c>
      <c r="D96" s="1">
        <f>'Closed End Seconds'!D26</f>
        <v>103.96875</v>
      </c>
      <c r="E96" s="106">
        <f>'Closed End Seconds'!E26</f>
        <v>100.9</v>
      </c>
      <c r="F96"/>
      <c r="H96" s="53">
        <v>15</v>
      </c>
      <c r="I96" s="68">
        <f t="shared" si="0"/>
        <v>8.9990000000000006</v>
      </c>
      <c r="J96" s="69" t="e">
        <f t="shared" ref="J96:J123" si="4">C96+$G$82</f>
        <v>#N/A</v>
      </c>
      <c r="K96" s="69" t="e">
        <f t="shared" ref="K96:K123" si="5">D96+$G$82</f>
        <v>#N/A</v>
      </c>
      <c r="L96" s="70" t="e">
        <f t="shared" ref="L96:L123" si="6">E96+$G$82</f>
        <v>#N/A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Seconds'!B27</f>
        <v>9.125</v>
      </c>
      <c r="C97" s="1">
        <f>'Closed End Seconds'!C27</f>
        <v>104.78125</v>
      </c>
      <c r="D97" s="1">
        <f>'Closed End Seconds'!D27</f>
        <v>104.28125</v>
      </c>
      <c r="E97" s="106">
        <f>'Closed End Seconds'!E27</f>
        <v>101.15</v>
      </c>
      <c r="F97"/>
      <c r="G97" s="52"/>
      <c r="H97" s="53">
        <v>16</v>
      </c>
      <c r="I97" s="68">
        <f t="shared" si="0"/>
        <v>9.125</v>
      </c>
      <c r="J97" s="69" t="e">
        <f t="shared" si="4"/>
        <v>#N/A</v>
      </c>
      <c r="K97" s="69" t="e">
        <f t="shared" si="5"/>
        <v>#N/A</v>
      </c>
      <c r="L97" s="70" t="e">
        <f t="shared" si="6"/>
        <v>#N/A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Seconds'!B28</f>
        <v>9.25</v>
      </c>
      <c r="C98" s="1">
        <f>'Closed End Seconds'!C28</f>
        <v>105.09375</v>
      </c>
      <c r="D98" s="1">
        <f>'Closed End Seconds'!D28</f>
        <v>104.59375</v>
      </c>
      <c r="E98" s="106">
        <f>'Closed End Seconds'!E28</f>
        <v>101.4</v>
      </c>
      <c r="F98"/>
      <c r="G98" s="52"/>
      <c r="H98" s="53">
        <v>17</v>
      </c>
      <c r="I98" s="68">
        <f t="shared" si="0"/>
        <v>9.25</v>
      </c>
      <c r="J98" s="69" t="e">
        <f t="shared" si="4"/>
        <v>#N/A</v>
      </c>
      <c r="K98" s="69" t="e">
        <f t="shared" si="5"/>
        <v>#N/A</v>
      </c>
      <c r="L98" s="70" t="e">
        <f t="shared" si="6"/>
        <v>#N/A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Seconds'!B29</f>
        <v>9.375</v>
      </c>
      <c r="C99" s="1">
        <f>'Closed End Seconds'!C29</f>
        <v>105.375</v>
      </c>
      <c r="D99" s="1">
        <f>'Closed End Seconds'!D29</f>
        <v>104.875</v>
      </c>
      <c r="E99" s="106">
        <f>'Closed End Seconds'!E29</f>
        <v>101.65</v>
      </c>
      <c r="F99"/>
      <c r="H99" s="53">
        <v>18</v>
      </c>
      <c r="I99" s="83">
        <f t="shared" si="0"/>
        <v>9.375</v>
      </c>
      <c r="J99" s="84" t="e">
        <f t="shared" si="4"/>
        <v>#N/A</v>
      </c>
      <c r="K99" s="84" t="e">
        <f t="shared" si="5"/>
        <v>#N/A</v>
      </c>
      <c r="L99" s="96" t="e">
        <f t="shared" si="6"/>
        <v>#N/A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Seconds'!B30</f>
        <v>9.4990000000000006</v>
      </c>
      <c r="C100" s="1">
        <f>'Closed End Seconds'!C30</f>
        <v>105.65625</v>
      </c>
      <c r="D100" s="1">
        <f>'Closed End Seconds'!D30</f>
        <v>105.15625</v>
      </c>
      <c r="E100" s="106">
        <f>'Closed End Seconds'!E30</f>
        <v>101.9</v>
      </c>
      <c r="F100"/>
      <c r="H100" s="53">
        <v>19</v>
      </c>
      <c r="I100" s="83">
        <f t="shared" si="0"/>
        <v>9.4990000000000006</v>
      </c>
      <c r="J100" s="84" t="e">
        <f t="shared" si="4"/>
        <v>#N/A</v>
      </c>
      <c r="K100" s="84" t="e">
        <f t="shared" si="5"/>
        <v>#N/A</v>
      </c>
      <c r="L100" s="96" t="e">
        <f t="shared" si="6"/>
        <v>#N/A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Seconds'!B31</f>
        <v>9.625</v>
      </c>
      <c r="C101" s="1">
        <f>'Closed End Seconds'!C31</f>
        <v>105.9375</v>
      </c>
      <c r="D101" s="1">
        <f>'Closed End Seconds'!D31</f>
        <v>105.4375</v>
      </c>
      <c r="E101" s="106">
        <f>'Closed End Seconds'!E31</f>
        <v>102.15</v>
      </c>
      <c r="F101"/>
      <c r="H101" s="53">
        <v>20</v>
      </c>
      <c r="I101" s="68">
        <f t="shared" si="0"/>
        <v>9.625</v>
      </c>
      <c r="J101" s="69" t="e">
        <f t="shared" si="4"/>
        <v>#N/A</v>
      </c>
      <c r="K101" s="69" t="e">
        <f t="shared" si="5"/>
        <v>#N/A</v>
      </c>
      <c r="L101" s="70" t="e">
        <f t="shared" si="6"/>
        <v>#N/A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Seconds'!B32</f>
        <v>9.75</v>
      </c>
      <c r="C102" s="1">
        <f>'Closed End Seconds'!C32</f>
        <v>106.125</v>
      </c>
      <c r="D102" s="1">
        <f>'Closed End Seconds'!D32</f>
        <v>105.625</v>
      </c>
      <c r="E102" s="106">
        <f>'Closed End Seconds'!E32</f>
        <v>102.4</v>
      </c>
      <c r="F102"/>
      <c r="H102" s="53">
        <v>21</v>
      </c>
      <c r="I102" s="68">
        <f t="shared" si="0"/>
        <v>9.75</v>
      </c>
      <c r="J102" s="69" t="e">
        <f t="shared" si="4"/>
        <v>#N/A</v>
      </c>
      <c r="K102" s="69" t="e">
        <f t="shared" si="5"/>
        <v>#N/A</v>
      </c>
      <c r="L102" s="70" t="e">
        <f t="shared" si="6"/>
        <v>#N/A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Seconds'!B33</f>
        <v>9.875</v>
      </c>
      <c r="C103" s="1">
        <f>'Closed End Seconds'!C33</f>
        <v>106.3125</v>
      </c>
      <c r="D103" s="1">
        <f>'Closed End Seconds'!D33</f>
        <v>105.8125</v>
      </c>
      <c r="E103" s="106">
        <f>'Closed End Seconds'!E33</f>
        <v>102.65</v>
      </c>
      <c r="F103"/>
      <c r="H103" s="53">
        <v>22</v>
      </c>
      <c r="I103" s="68">
        <f t="shared" si="0"/>
        <v>9.875</v>
      </c>
      <c r="J103" s="69" t="e">
        <f t="shared" si="4"/>
        <v>#N/A</v>
      </c>
      <c r="K103" s="69" t="e">
        <f t="shared" si="5"/>
        <v>#N/A</v>
      </c>
      <c r="L103" s="70" t="e">
        <f t="shared" si="6"/>
        <v>#N/A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Seconds'!B34</f>
        <v>9.9990000000000006</v>
      </c>
      <c r="C104" s="1">
        <f>'Closed End Seconds'!C34</f>
        <v>106.5</v>
      </c>
      <c r="D104" s="1">
        <f>'Closed End Seconds'!D34</f>
        <v>106</v>
      </c>
      <c r="E104" s="106">
        <f>'Closed End Seconds'!E34</f>
        <v>102.9</v>
      </c>
      <c r="F104"/>
      <c r="H104" s="53">
        <v>23</v>
      </c>
      <c r="I104" s="68">
        <f t="shared" si="0"/>
        <v>9.9990000000000006</v>
      </c>
      <c r="J104" s="69" t="e">
        <f t="shared" si="4"/>
        <v>#N/A</v>
      </c>
      <c r="K104" s="69" t="e">
        <f t="shared" si="5"/>
        <v>#N/A</v>
      </c>
      <c r="L104" s="70" t="e">
        <f t="shared" si="6"/>
        <v>#N/A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Seconds'!B35</f>
        <v>10.125</v>
      </c>
      <c r="C105" s="1">
        <f>'Closed End Seconds'!C35</f>
        <v>106.6875</v>
      </c>
      <c r="D105" s="1">
        <f>'Closed End Seconds'!D35</f>
        <v>106.1875</v>
      </c>
      <c r="E105" s="106">
        <f>'Closed End Seconds'!E35</f>
        <v>103.15</v>
      </c>
      <c r="F105"/>
      <c r="H105" s="53">
        <v>24</v>
      </c>
      <c r="I105" s="68">
        <f t="shared" si="0"/>
        <v>10.125</v>
      </c>
      <c r="J105" s="69" t="e">
        <f t="shared" si="4"/>
        <v>#N/A</v>
      </c>
      <c r="K105" s="69" t="e">
        <f t="shared" si="5"/>
        <v>#N/A</v>
      </c>
      <c r="L105" s="70" t="e">
        <f t="shared" si="6"/>
        <v>#N/A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Seconds'!B36</f>
        <v>10.25</v>
      </c>
      <c r="C106" s="1">
        <f>'Closed End Seconds'!C36</f>
        <v>106.875</v>
      </c>
      <c r="D106" s="1">
        <f>'Closed End Seconds'!D36</f>
        <v>106.375</v>
      </c>
      <c r="E106" s="106">
        <f>'Closed End Seconds'!E36</f>
        <v>103.4</v>
      </c>
      <c r="F106"/>
      <c r="H106" s="53">
        <v>25</v>
      </c>
      <c r="I106" s="68">
        <f t="shared" si="0"/>
        <v>10.25</v>
      </c>
      <c r="J106" s="69" t="e">
        <f t="shared" si="4"/>
        <v>#N/A</v>
      </c>
      <c r="K106" s="69" t="e">
        <f t="shared" si="5"/>
        <v>#N/A</v>
      </c>
      <c r="L106" s="70" t="e">
        <f t="shared" si="6"/>
        <v>#N/A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Seconds'!B37</f>
        <v>10.375</v>
      </c>
      <c r="C107" s="1">
        <f>'Closed End Seconds'!C37</f>
        <v>107.0625</v>
      </c>
      <c r="D107" s="1">
        <f>'Closed End Seconds'!D37</f>
        <v>106.5625</v>
      </c>
      <c r="E107" s="106">
        <f>'Closed End Seconds'!E37</f>
        <v>103.65</v>
      </c>
      <c r="F107"/>
      <c r="H107" s="53">
        <v>26</v>
      </c>
      <c r="I107" s="68">
        <f t="shared" si="0"/>
        <v>10.375</v>
      </c>
      <c r="J107" s="69" t="e">
        <f t="shared" si="4"/>
        <v>#N/A</v>
      </c>
      <c r="K107" s="69" t="e">
        <f t="shared" si="5"/>
        <v>#N/A</v>
      </c>
      <c r="L107" s="70" t="e">
        <f t="shared" si="6"/>
        <v>#N/A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Seconds'!B38</f>
        <v>10.499000000000001</v>
      </c>
      <c r="C108" s="1">
        <f>'Closed End Seconds'!C38</f>
        <v>107.25</v>
      </c>
      <c r="D108" s="1">
        <f>'Closed End Seconds'!D38</f>
        <v>106.75</v>
      </c>
      <c r="E108" s="106">
        <f>'Closed End Seconds'!E38</f>
        <v>104.15</v>
      </c>
      <c r="F108"/>
      <c r="H108" s="53">
        <v>27</v>
      </c>
      <c r="I108" s="68">
        <f t="shared" si="0"/>
        <v>10.499000000000001</v>
      </c>
      <c r="J108" s="69" t="e">
        <f t="shared" si="4"/>
        <v>#N/A</v>
      </c>
      <c r="K108" s="69" t="e">
        <f t="shared" si="5"/>
        <v>#N/A</v>
      </c>
      <c r="L108" s="70" t="e">
        <f t="shared" si="6"/>
        <v>#N/A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Seconds'!B39</f>
        <v>10.625</v>
      </c>
      <c r="C109" s="1">
        <f>'Closed End Seconds'!C39</f>
        <v>107.4375</v>
      </c>
      <c r="D109" s="1">
        <f>'Closed End Seconds'!D39</f>
        <v>106.9375</v>
      </c>
      <c r="E109" s="106">
        <f>'Closed End Seconds'!E39</f>
        <v>104.65</v>
      </c>
      <c r="F109"/>
      <c r="H109" s="53">
        <v>28</v>
      </c>
      <c r="I109" s="68">
        <f t="shared" si="0"/>
        <v>10.625</v>
      </c>
      <c r="J109" s="69" t="e">
        <f t="shared" si="4"/>
        <v>#N/A</v>
      </c>
      <c r="K109" s="69" t="e">
        <f t="shared" si="5"/>
        <v>#N/A</v>
      </c>
      <c r="L109" s="70" t="e">
        <f t="shared" si="6"/>
        <v>#N/A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Seconds'!B40</f>
        <v>10.75</v>
      </c>
      <c r="C110" s="1">
        <f>'Closed End Seconds'!C40</f>
        <v>107.625</v>
      </c>
      <c r="D110" s="1">
        <f>'Closed End Seconds'!D40</f>
        <v>107.125</v>
      </c>
      <c r="E110" s="106">
        <f>'Closed End Seconds'!E40</f>
        <v>105.15</v>
      </c>
      <c r="F110"/>
      <c r="H110" s="53">
        <v>29</v>
      </c>
      <c r="I110" s="68">
        <f t="shared" si="0"/>
        <v>10.75</v>
      </c>
      <c r="J110" s="69" t="e">
        <f t="shared" si="4"/>
        <v>#N/A</v>
      </c>
      <c r="K110" s="69" t="e">
        <f t="shared" si="5"/>
        <v>#N/A</v>
      </c>
      <c r="L110" s="70" t="e">
        <f t="shared" si="6"/>
        <v>#N/A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Seconds'!B41</f>
        <v>10.875</v>
      </c>
      <c r="C111" s="1">
        <f>'Closed End Seconds'!C41</f>
        <v>107.8125</v>
      </c>
      <c r="D111" s="1">
        <f>'Closed End Seconds'!D41</f>
        <v>107.3125</v>
      </c>
      <c r="E111" s="106">
        <f>'Closed End Seconds'!E41</f>
        <v>105.65</v>
      </c>
      <c r="F111"/>
      <c r="H111" s="53">
        <v>30</v>
      </c>
      <c r="I111" s="68">
        <f t="shared" si="0"/>
        <v>10.875</v>
      </c>
      <c r="J111" s="69" t="e">
        <f t="shared" si="4"/>
        <v>#N/A</v>
      </c>
      <c r="K111" s="69" t="e">
        <f t="shared" si="5"/>
        <v>#N/A</v>
      </c>
      <c r="L111" s="70" t="e">
        <f t="shared" si="6"/>
        <v>#N/A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Seconds'!B42</f>
        <v>10.999000000000001</v>
      </c>
      <c r="C112" s="1">
        <f>'Closed End Seconds'!C42</f>
        <v>108</v>
      </c>
      <c r="D112" s="1">
        <f>'Closed End Seconds'!D42</f>
        <v>107.5</v>
      </c>
      <c r="E112" s="106">
        <f>'Closed End Seconds'!E42</f>
        <v>105.9</v>
      </c>
      <c r="F112"/>
      <c r="H112" s="53">
        <v>31</v>
      </c>
      <c r="I112" s="68">
        <f t="shared" si="0"/>
        <v>10.999000000000001</v>
      </c>
      <c r="J112" s="69" t="e">
        <f t="shared" si="4"/>
        <v>#N/A</v>
      </c>
      <c r="K112" s="69" t="e">
        <f t="shared" si="5"/>
        <v>#N/A</v>
      </c>
      <c r="L112" s="70" t="e">
        <f t="shared" si="6"/>
        <v>#N/A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Seconds'!B43</f>
        <v>11.125</v>
      </c>
      <c r="C113" s="1">
        <f>'Closed End Seconds'!C43</f>
        <v>108.1875</v>
      </c>
      <c r="D113" s="1">
        <f>'Closed End Seconds'!D43</f>
        <v>107.6875</v>
      </c>
      <c r="E113" s="106">
        <f>'Closed End Seconds'!E43</f>
        <v>106.15</v>
      </c>
      <c r="F113"/>
      <c r="H113" s="53">
        <v>32</v>
      </c>
      <c r="I113" s="68">
        <f t="shared" ref="I113:I115" si="7">B113</f>
        <v>11.125</v>
      </c>
      <c r="J113" s="69" t="e">
        <f t="shared" ref="J113:J115" si="8">C113+$G$82</f>
        <v>#N/A</v>
      </c>
      <c r="K113" s="69" t="e">
        <f t="shared" ref="K113:K115" si="9">D113+$G$82</f>
        <v>#N/A</v>
      </c>
      <c r="L113" s="70" t="e">
        <f t="shared" ref="L113:L115" si="10">E113+$G$82</f>
        <v>#N/A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Seconds'!B44</f>
        <v>11.25</v>
      </c>
      <c r="C114" s="1">
        <f>'Closed End Seconds'!C44</f>
        <v>108.375</v>
      </c>
      <c r="D114" s="1">
        <f>'Closed End Seconds'!D44</f>
        <v>107.875</v>
      </c>
      <c r="E114" s="106">
        <f>'Closed End Seconds'!E44</f>
        <v>106.4</v>
      </c>
      <c r="F114"/>
      <c r="H114" s="53">
        <v>33</v>
      </c>
      <c r="I114" s="68">
        <f t="shared" si="7"/>
        <v>11.25</v>
      </c>
      <c r="J114" s="69" t="e">
        <f t="shared" si="8"/>
        <v>#N/A</v>
      </c>
      <c r="K114" s="69" t="e">
        <f t="shared" si="9"/>
        <v>#N/A</v>
      </c>
      <c r="L114" s="70" t="e">
        <f t="shared" si="10"/>
        <v>#N/A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Seconds'!B45</f>
        <v>11.375</v>
      </c>
      <c r="C115" s="1">
        <f>'Closed End Seconds'!C45</f>
        <v>108.5625</v>
      </c>
      <c r="D115" s="1">
        <f>'Closed End Seconds'!D45</f>
        <v>108.0625</v>
      </c>
      <c r="E115" s="106">
        <f>'Closed End Seconds'!E45</f>
        <v>106.65</v>
      </c>
      <c r="F115"/>
      <c r="H115" s="53">
        <v>34</v>
      </c>
      <c r="I115" s="68">
        <f t="shared" si="7"/>
        <v>11.375</v>
      </c>
      <c r="J115" s="69" t="e">
        <f t="shared" si="8"/>
        <v>#N/A</v>
      </c>
      <c r="K115" s="69" t="e">
        <f t="shared" si="9"/>
        <v>#N/A</v>
      </c>
      <c r="L115" s="70" t="e">
        <f t="shared" si="10"/>
        <v>#N/A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Seconds'!B46</f>
        <v>11.499000000000001</v>
      </c>
      <c r="C116" s="1">
        <f>'Closed End Seconds'!C46</f>
        <v>108.75</v>
      </c>
      <c r="D116" s="1">
        <f>'Closed End Seconds'!D46</f>
        <v>108.25</v>
      </c>
      <c r="E116" s="106">
        <f>'Closed End Seconds'!E46</f>
        <v>106.9</v>
      </c>
      <c r="F116"/>
      <c r="H116" s="53">
        <v>35</v>
      </c>
      <c r="I116" s="68">
        <f t="shared" si="0"/>
        <v>11.499000000000001</v>
      </c>
      <c r="J116" s="69" t="e">
        <f t="shared" si="4"/>
        <v>#N/A</v>
      </c>
      <c r="K116" s="69" t="e">
        <f t="shared" si="5"/>
        <v>#N/A</v>
      </c>
      <c r="L116" s="70" t="e">
        <f t="shared" si="6"/>
        <v>#N/A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Seconds'!B47</f>
        <v>11.625</v>
      </c>
      <c r="C117" s="1">
        <f>'Closed End Seconds'!C47</f>
        <v>108.9375</v>
      </c>
      <c r="D117" s="1">
        <f>'Closed End Seconds'!D47</f>
        <v>108.4375</v>
      </c>
      <c r="E117" s="106">
        <f>'Closed End Seconds'!E47</f>
        <v>107.15</v>
      </c>
      <c r="F117"/>
      <c r="H117" s="53">
        <v>36</v>
      </c>
      <c r="I117" s="68">
        <f t="shared" si="0"/>
        <v>11.625</v>
      </c>
      <c r="J117" s="69" t="e">
        <f t="shared" si="4"/>
        <v>#N/A</v>
      </c>
      <c r="K117" s="69" t="e">
        <f t="shared" si="5"/>
        <v>#N/A</v>
      </c>
      <c r="L117" s="70" t="e">
        <f t="shared" si="6"/>
        <v>#N/A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Seconds'!B48</f>
        <v>11.75</v>
      </c>
      <c r="C118" s="1">
        <f>'Closed End Seconds'!C48</f>
        <v>109.125</v>
      </c>
      <c r="D118" s="1">
        <f>'Closed End Seconds'!D48</f>
        <v>108.625</v>
      </c>
      <c r="E118" s="106">
        <f>'Closed End Seconds'!E48</f>
        <v>107.4</v>
      </c>
      <c r="F118"/>
      <c r="H118" s="53">
        <v>37</v>
      </c>
      <c r="I118" s="68">
        <f t="shared" si="0"/>
        <v>11.75</v>
      </c>
      <c r="J118" s="69" t="e">
        <f t="shared" si="4"/>
        <v>#N/A</v>
      </c>
      <c r="K118" s="69" t="e">
        <f t="shared" si="5"/>
        <v>#N/A</v>
      </c>
      <c r="L118" s="70" t="e">
        <f t="shared" si="6"/>
        <v>#N/A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Seconds'!B49</f>
        <v>11.875</v>
      </c>
      <c r="C119" s="1">
        <f>'Closed End Seconds'!C49</f>
        <v>109.3125</v>
      </c>
      <c r="D119" s="1">
        <f>'Closed End Seconds'!D49</f>
        <v>108.8125</v>
      </c>
      <c r="E119" s="106">
        <f>'Closed End Seconds'!E49</f>
        <v>107.65</v>
      </c>
      <c r="F119"/>
      <c r="H119" s="53">
        <v>38</v>
      </c>
      <c r="I119" s="68">
        <f t="shared" si="0"/>
        <v>11.875</v>
      </c>
      <c r="J119" s="69" t="e">
        <f t="shared" si="4"/>
        <v>#N/A</v>
      </c>
      <c r="K119" s="69" t="e">
        <f t="shared" si="5"/>
        <v>#N/A</v>
      </c>
      <c r="L119" s="70" t="e">
        <f t="shared" si="6"/>
        <v>#N/A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Seconds'!B50</f>
        <v>11.999000000000001</v>
      </c>
      <c r="C120" s="1">
        <f>'Closed End Seconds'!C50</f>
        <v>109.5</v>
      </c>
      <c r="D120" s="1">
        <f>'Closed End Seconds'!D50</f>
        <v>109</v>
      </c>
      <c r="E120" s="106">
        <f>'Closed End Seconds'!E50</f>
        <v>107.9</v>
      </c>
      <c r="F120"/>
      <c r="H120" s="53">
        <v>39</v>
      </c>
      <c r="I120" s="68">
        <f t="shared" si="0"/>
        <v>11.999000000000001</v>
      </c>
      <c r="J120" s="69" t="e">
        <f t="shared" si="4"/>
        <v>#N/A</v>
      </c>
      <c r="K120" s="69" t="e">
        <f t="shared" si="5"/>
        <v>#N/A</v>
      </c>
      <c r="L120" s="70" t="e">
        <f t="shared" si="6"/>
        <v>#N/A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Seconds'!B51</f>
        <v>12.125</v>
      </c>
      <c r="C121" s="1">
        <f>'Closed End Seconds'!C51</f>
        <v>109.6875</v>
      </c>
      <c r="D121" s="1">
        <f>'Closed End Seconds'!D51</f>
        <v>109.1875</v>
      </c>
      <c r="E121" s="106">
        <f>'Closed End Seconds'!E51</f>
        <v>108.15</v>
      </c>
      <c r="F121"/>
      <c r="H121" s="53">
        <v>40</v>
      </c>
      <c r="I121" s="68">
        <f t="shared" si="0"/>
        <v>12.125</v>
      </c>
      <c r="J121" s="69" t="e">
        <f t="shared" si="4"/>
        <v>#N/A</v>
      </c>
      <c r="K121" s="69" t="e">
        <f t="shared" si="5"/>
        <v>#N/A</v>
      </c>
      <c r="L121" s="70" t="e">
        <f t="shared" si="6"/>
        <v>#N/A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Seconds'!B52</f>
        <v>0</v>
      </c>
      <c r="C122" s="1">
        <f>'Closed End Seconds'!C52</f>
        <v>0</v>
      </c>
      <c r="D122" s="1">
        <f>'Closed End Seconds'!D52</f>
        <v>0</v>
      </c>
      <c r="E122" s="106">
        <f>'Closed End Seconds'!E52</f>
        <v>0</v>
      </c>
      <c r="F122"/>
      <c r="H122" s="53">
        <v>41</v>
      </c>
      <c r="I122" s="68">
        <f t="shared" si="0"/>
        <v>0</v>
      </c>
      <c r="J122" s="69" t="e">
        <f t="shared" si="4"/>
        <v>#N/A</v>
      </c>
      <c r="K122" s="69" t="e">
        <f t="shared" si="5"/>
        <v>#N/A</v>
      </c>
      <c r="L122" s="70" t="e">
        <f t="shared" si="6"/>
        <v>#N/A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Seconds'!B53</f>
        <v>0</v>
      </c>
      <c r="C123" s="1">
        <f>'Closed End Seconds'!C53</f>
        <v>0</v>
      </c>
      <c r="D123" s="1">
        <f>'Closed End Seconds'!D53</f>
        <v>0</v>
      </c>
      <c r="E123" s="106">
        <f>'Closed End Seconds'!E53</f>
        <v>0</v>
      </c>
      <c r="F123"/>
      <c r="H123" s="53">
        <v>42</v>
      </c>
      <c r="I123" s="68">
        <f t="shared" si="0"/>
        <v>0</v>
      </c>
      <c r="J123" s="69" t="e">
        <f t="shared" si="4"/>
        <v>#N/A</v>
      </c>
      <c r="K123" s="69" t="e">
        <f t="shared" si="5"/>
        <v>#N/A</v>
      </c>
      <c r="L123" s="70" t="e">
        <f t="shared" si="6"/>
        <v>#N/A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Seconds'!B54</f>
        <v>0</v>
      </c>
      <c r="C124" s="1">
        <f>'Closed End Seconds'!C54</f>
        <v>0</v>
      </c>
      <c r="D124" s="1">
        <f>'Closed End Seconds'!D54</f>
        <v>0</v>
      </c>
      <c r="E124" s="106">
        <f>'Closed End Seconds'!E54</f>
        <v>0</v>
      </c>
      <c r="F124"/>
      <c r="H124" s="53">
        <v>43</v>
      </c>
      <c r="I124" s="68">
        <f t="shared" ref="I124:I127" si="11">B124</f>
        <v>0</v>
      </c>
      <c r="J124" s="69" t="e">
        <f t="shared" ref="J124:J127" si="12">C124+$G$82</f>
        <v>#N/A</v>
      </c>
      <c r="K124" s="69" t="e">
        <f t="shared" ref="K124:K127" si="13">D124+$G$82</f>
        <v>#N/A</v>
      </c>
      <c r="L124" s="70" t="e">
        <f t="shared" ref="L124:L127" si="14">E124+$G$82</f>
        <v>#N/A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Seconds'!B55</f>
        <v>0</v>
      </c>
      <c r="C125" s="1">
        <f>'Closed End Seconds'!C55</f>
        <v>0</v>
      </c>
      <c r="D125" s="1">
        <f>'Closed End Seconds'!D55</f>
        <v>0</v>
      </c>
      <c r="E125" s="106">
        <f>'Closed End Seconds'!E55</f>
        <v>0</v>
      </c>
      <c r="F125"/>
      <c r="H125" s="53">
        <v>44</v>
      </c>
      <c r="I125" s="68">
        <f t="shared" si="11"/>
        <v>0</v>
      </c>
      <c r="J125" s="69" t="e">
        <f t="shared" si="12"/>
        <v>#N/A</v>
      </c>
      <c r="K125" s="69" t="e">
        <f t="shared" si="13"/>
        <v>#N/A</v>
      </c>
      <c r="L125" s="70" t="e">
        <f t="shared" si="14"/>
        <v>#N/A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 t="e">
        <f t="shared" si="12"/>
        <v>#N/A</v>
      </c>
      <c r="K126" s="69" t="e">
        <f t="shared" si="13"/>
        <v>#N/A</v>
      </c>
      <c r="L126" s="70" t="e">
        <f t="shared" si="14"/>
        <v>#N/A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 t="e">
        <f t="shared" si="12"/>
        <v>#N/A</v>
      </c>
      <c r="K127" s="69" t="e">
        <f t="shared" si="13"/>
        <v>#N/A</v>
      </c>
      <c r="L127" s="70" t="e">
        <f t="shared" si="14"/>
        <v>#N/A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t="e" cm="1">
        <f t="array" aca="1" ref="J129" ca="1">IFERROR(INDEX(OFFSET(J82:J126,0,-2),MATCH(TRUE,($J$82:$J$126)&gt;=IF(E136&gt;100,100,E136),0)),INDEX(OFFSET($J$82:$J$126,0,-2),MATCH(MAX($J$82:$J$126),$J$82:$J$126,0)))</f>
        <v>#N/A</v>
      </c>
      <c r="K129" s="108" t="e" cm="1">
        <f t="array" aca="1" ref="K129" ca="1">IFERROR(INDEX(OFFSET(K84:K126,0,-3),MATCH(TRUE,($K$84:$K$126)&gt;=IF(E136&gt;100,100,E136),0)),INDEX(OFFSET($K$84:$K$126,0,-3),MATCH(MAX($K$84:$K$126),$K$84:$K$126,0)))</f>
        <v>#N/A</v>
      </c>
      <c r="L129" s="109" t="e" cm="1">
        <f t="array" aca="1" ref="L129" ca="1">IFERROR(INDEX(OFFSET(L90:L126,0,-4),MATCH(TRUE,($L$90:$L$126)&gt;=IF(E136&gt;100,100,E136),0)),INDEX(OFFSET($L$90:$L$126,0,-4),MATCH(MAX($L$90:$L$126),$L$90:$L$126,0)))</f>
        <v>#N/A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 t="e">
        <f ca="1">VLOOKUP(J129,H82:I128,2,FALSE)</f>
        <v>#N/A</v>
      </c>
      <c r="K130" s="111" t="e">
        <f ca="1">VLOOKUP(K129,H82:I128,2,FALSE)</f>
        <v>#N/A</v>
      </c>
      <c r="L130" s="55" t="e">
        <f ca="1">VLOOKUP(L129,H82:L128,2,FALSE)</f>
        <v>#N/A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311">
        <f>'Closed End Seconds'!S57</f>
        <v>0</v>
      </c>
      <c r="C132" s="312"/>
      <c r="D132" s="313"/>
      <c r="E132" s="200" t="s">
        <v>37</v>
      </c>
      <c r="F132"/>
      <c r="J132" s="114" t="e">
        <f ca="1">VLOOKUP(J129,H82:J128,3,FALSE)</f>
        <v>#N/A</v>
      </c>
      <c r="K132" s="111" t="e">
        <f ca="1">VLOOKUP(K129,H82:K128,4,FALSE)</f>
        <v>#N/A</v>
      </c>
      <c r="L132" s="112" t="e">
        <f ca="1">VLOOKUP(L129,H82:L128,5,FALSE)</f>
        <v>#N/A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316">
        <f>'Closed End Seconds'!U57</f>
        <v>102</v>
      </c>
      <c r="C133" s="317"/>
      <c r="D133" s="318"/>
      <c r="E133" s="224" t="str" cm="1">
        <f t="array" ref="E133">IF(OR('Closed End Seconds'!U18=I3:I5),B133,"")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201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307" t="s">
        <v>123</v>
      </c>
      <c r="J137" s="308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309"/>
      <c r="J138" s="310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311">
        <f>'Closed End Seconds'!S58</f>
        <v>0</v>
      </c>
      <c r="C141" s="312"/>
      <c r="D141" s="313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316" t="str">
        <f>'Closed End Seconds'!T58</f>
        <v>Max Rate (CA)</v>
      </c>
      <c r="C142" s="317"/>
      <c r="D142" s="318"/>
      <c r="E142" s="100" t="str">
        <f>IF(OR('Closed End Seconds'!U21=N4),B142,"")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311">
        <f>'Closed End Seconds'!S59</f>
        <v>0</v>
      </c>
      <c r="C145" s="312"/>
      <c r="D145" s="313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316" t="str">
        <f>'Closed End Seconds'!T59</f>
        <v>NC Floor Price</v>
      </c>
      <c r="C146" s="317"/>
      <c r="D146" s="318"/>
      <c r="E146" s="100" t="str">
        <f>IF(OR('Closed End Seconds'!U21=N5),B146,"")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45:D145"/>
    <mergeCell ref="B146:D146"/>
    <mergeCell ref="B141:D141"/>
    <mergeCell ref="B142:D142"/>
    <mergeCell ref="I137:J137"/>
    <mergeCell ref="I138:J138"/>
    <mergeCell ref="B132:D132"/>
    <mergeCell ref="B80:E80"/>
    <mergeCell ref="B133:D133"/>
  </mergeCells>
  <phoneticPr fontId="31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71" t="s">
        <v>44</v>
      </c>
      <c r="C12" s="372"/>
      <c r="D12" s="372"/>
      <c r="E12" s="372"/>
      <c r="F12" s="372"/>
      <c r="G12" s="372"/>
      <c r="H12" s="372"/>
      <c r="I12" s="372"/>
      <c r="J12" s="372"/>
      <c r="K12" s="372"/>
      <c r="L12" s="372"/>
      <c r="M12" s="372"/>
      <c r="N12" s="372"/>
      <c r="O12" s="372"/>
      <c r="P12" s="372"/>
      <c r="Q12" s="372"/>
      <c r="R12" s="372"/>
      <c r="S12" s="372"/>
      <c r="T12" s="372"/>
      <c r="U12" s="372"/>
      <c r="V12" s="373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47" t="s">
        <v>45</v>
      </c>
      <c r="D14" s="348"/>
      <c r="E14" s="349"/>
      <c r="F14" s="358" t="s">
        <v>46</v>
      </c>
      <c r="G14" s="359"/>
      <c r="H14" s="5"/>
      <c r="I14" s="375" t="s">
        <v>47</v>
      </c>
      <c r="J14" s="376"/>
      <c r="K14" s="377"/>
      <c r="M14" s="5"/>
      <c r="N14" s="344" t="s">
        <v>48</v>
      </c>
      <c r="O14" s="345"/>
      <c r="P14" s="345"/>
      <c r="Q14" s="345"/>
      <c r="R14" s="345"/>
      <c r="S14" s="345"/>
      <c r="T14" s="345"/>
      <c r="U14" s="346"/>
      <c r="V14" s="9"/>
    </row>
    <row r="15" spans="2:22" ht="17.25" customHeight="1" thickBot="1">
      <c r="B15" s="25"/>
      <c r="C15" s="45" t="s">
        <v>49</v>
      </c>
      <c r="D15" s="350">
        <v>1295</v>
      </c>
      <c r="E15" s="351"/>
      <c r="F15" s="360">
        <v>-0.25</v>
      </c>
      <c r="G15" s="361"/>
      <c r="H15" s="5"/>
      <c r="I15" s="378" t="s">
        <v>50</v>
      </c>
      <c r="J15" s="379"/>
      <c r="K15" s="380"/>
      <c r="M15" s="5"/>
      <c r="N15" s="394" t="s">
        <v>51</v>
      </c>
      <c r="O15" s="395"/>
      <c r="P15" s="396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352" t="s">
        <v>54</v>
      </c>
      <c r="D16" s="353"/>
      <c r="E16" s="354"/>
      <c r="F16" s="358" t="s">
        <v>55</v>
      </c>
      <c r="G16" s="359"/>
      <c r="H16" s="5"/>
      <c r="I16" s="381"/>
      <c r="J16" s="382"/>
      <c r="K16" s="383"/>
      <c r="M16" s="5"/>
      <c r="N16" s="329"/>
      <c r="O16" s="330"/>
      <c r="P16" s="397"/>
      <c r="Q16" s="30" t="s">
        <v>56</v>
      </c>
      <c r="R16" s="374" t="s">
        <v>57</v>
      </c>
      <c r="S16" s="374"/>
      <c r="T16" s="374"/>
      <c r="U16" s="34"/>
      <c r="V16" s="9"/>
    </row>
    <row r="17" spans="2:22" ht="17.25" customHeight="1" thickBot="1">
      <c r="B17" s="25"/>
      <c r="C17" s="355">
        <v>79</v>
      </c>
      <c r="D17" s="356"/>
      <c r="E17" s="357"/>
      <c r="F17" s="360" t="s">
        <v>58</v>
      </c>
      <c r="G17" s="361"/>
      <c r="H17" s="5"/>
      <c r="I17" s="384"/>
      <c r="J17" s="385"/>
      <c r="K17" s="386"/>
      <c r="M17" s="5"/>
      <c r="N17" s="388"/>
      <c r="O17" s="389"/>
      <c r="P17" s="390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27" t="s">
        <v>59</v>
      </c>
      <c r="O18" s="328"/>
      <c r="P18" s="387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88"/>
      <c r="O19" s="389"/>
      <c r="P19" s="390"/>
      <c r="Q19" s="30" t="s">
        <v>56</v>
      </c>
      <c r="R19" s="391" t="s">
        <v>61</v>
      </c>
      <c r="S19" s="391"/>
      <c r="T19" s="391"/>
      <c r="U19" s="392"/>
      <c r="V19" s="9"/>
    </row>
    <row r="20" spans="2:22" ht="13.5" customHeight="1" thickBot="1">
      <c r="B20" s="25"/>
      <c r="C20" s="398" t="s">
        <v>62</v>
      </c>
      <c r="D20" s="399"/>
      <c r="E20" s="399"/>
      <c r="F20" s="399"/>
      <c r="G20" s="399"/>
      <c r="H20" s="399"/>
      <c r="I20" s="399"/>
      <c r="J20" s="400"/>
      <c r="M20" s="5"/>
      <c r="N20" s="327" t="s">
        <v>63</v>
      </c>
      <c r="O20" s="328"/>
      <c r="P20" s="387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402" t="s">
        <v>64</v>
      </c>
      <c r="D21" s="401"/>
      <c r="E21" s="401" t="s">
        <v>65</v>
      </c>
      <c r="F21" s="401"/>
      <c r="G21" s="401" t="s">
        <v>66</v>
      </c>
      <c r="H21" s="401"/>
      <c r="I21" s="401"/>
      <c r="J21" s="47" t="s">
        <v>67</v>
      </c>
      <c r="M21" s="5"/>
      <c r="N21" s="388"/>
      <c r="O21" s="389"/>
      <c r="P21" s="390"/>
      <c r="Q21" s="12" t="s">
        <v>56</v>
      </c>
      <c r="R21" s="393" t="s">
        <v>68</v>
      </c>
      <c r="S21" s="393"/>
      <c r="T21" s="393"/>
      <c r="U21" s="36"/>
      <c r="V21" s="9"/>
    </row>
    <row r="22" spans="2:22">
      <c r="B22" s="25"/>
      <c r="C22" s="362" t="s">
        <v>69</v>
      </c>
      <c r="D22" s="363"/>
      <c r="E22" s="364" t="s">
        <v>70</v>
      </c>
      <c r="F22" s="364"/>
      <c r="G22" s="364" t="s">
        <v>71</v>
      </c>
      <c r="H22" s="364"/>
      <c r="I22" s="364"/>
      <c r="J22" s="46" t="s">
        <v>72</v>
      </c>
      <c r="M22" s="5"/>
      <c r="N22" s="365" t="s">
        <v>73</v>
      </c>
      <c r="O22" s="366"/>
      <c r="P22" s="367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333" t="s">
        <v>74</v>
      </c>
      <c r="D23" s="334"/>
      <c r="E23" s="335" t="s">
        <v>70</v>
      </c>
      <c r="F23" s="336"/>
      <c r="G23" s="335" t="s">
        <v>75</v>
      </c>
      <c r="H23" s="340"/>
      <c r="I23" s="336"/>
      <c r="J23" s="76"/>
      <c r="M23" s="5"/>
      <c r="N23" s="368"/>
      <c r="O23" s="369"/>
      <c r="P23" s="370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33" t="s">
        <v>77</v>
      </c>
      <c r="D24" s="334"/>
      <c r="E24" s="335" t="s">
        <v>70</v>
      </c>
      <c r="F24" s="336"/>
      <c r="G24" s="335" t="s">
        <v>78</v>
      </c>
      <c r="H24" s="340"/>
      <c r="I24" s="336"/>
      <c r="J24" s="76" t="s">
        <v>72</v>
      </c>
      <c r="L24" s="27"/>
      <c r="M24" s="5"/>
      <c r="N24" s="365" t="s">
        <v>79</v>
      </c>
      <c r="O24" s="366"/>
      <c r="P24" s="367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33" t="s">
        <v>81</v>
      </c>
      <c r="D25" s="334"/>
      <c r="E25" s="335" t="s">
        <v>70</v>
      </c>
      <c r="F25" s="336"/>
      <c r="G25" s="335" t="s">
        <v>78</v>
      </c>
      <c r="H25" s="340"/>
      <c r="I25" s="336"/>
      <c r="J25" s="76" t="s">
        <v>72</v>
      </c>
      <c r="M25" s="5"/>
      <c r="N25" s="368"/>
      <c r="O25" s="369"/>
      <c r="P25" s="370"/>
      <c r="Q25" s="30" t="s">
        <v>56</v>
      </c>
      <c r="R25" s="374" t="s">
        <v>82</v>
      </c>
      <c r="S25" s="374"/>
      <c r="T25" s="374"/>
      <c r="U25" s="34"/>
      <c r="V25" s="9"/>
    </row>
    <row r="26" spans="2:22">
      <c r="B26" s="25"/>
      <c r="C26" s="333" t="s">
        <v>83</v>
      </c>
      <c r="D26" s="334"/>
      <c r="E26" s="335" t="s">
        <v>84</v>
      </c>
      <c r="F26" s="336"/>
      <c r="G26" s="335" t="s">
        <v>71</v>
      </c>
      <c r="H26" s="340"/>
      <c r="I26" s="336"/>
      <c r="J26" s="76" t="s">
        <v>85</v>
      </c>
      <c r="M26" s="5"/>
      <c r="N26" s="365" t="s">
        <v>86</v>
      </c>
      <c r="O26" s="366"/>
      <c r="P26" s="367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333" t="s">
        <v>87</v>
      </c>
      <c r="D27" s="334"/>
      <c r="E27" s="335" t="s">
        <v>88</v>
      </c>
      <c r="F27" s="336"/>
      <c r="G27" s="335" t="s">
        <v>89</v>
      </c>
      <c r="H27" s="340"/>
      <c r="I27" s="336"/>
      <c r="J27" s="76" t="s">
        <v>90</v>
      </c>
      <c r="M27" s="5"/>
      <c r="N27" s="368"/>
      <c r="O27" s="369"/>
      <c r="P27" s="370"/>
      <c r="Q27" s="15" t="s">
        <v>56</v>
      </c>
      <c r="R27" s="343" t="s">
        <v>91</v>
      </c>
      <c r="S27" s="343"/>
      <c r="T27" s="343"/>
      <c r="U27" s="51"/>
      <c r="V27" s="9"/>
    </row>
    <row r="28" spans="2:22">
      <c r="B28" s="25"/>
      <c r="C28" s="333" t="s">
        <v>92</v>
      </c>
      <c r="D28" s="334"/>
      <c r="E28" s="335" t="s">
        <v>88</v>
      </c>
      <c r="F28" s="336"/>
      <c r="G28" s="335" t="s">
        <v>78</v>
      </c>
      <c r="H28" s="340"/>
      <c r="I28" s="336"/>
      <c r="J28" s="76" t="s">
        <v>93</v>
      </c>
      <c r="M28" s="5"/>
      <c r="N28" s="365" t="s">
        <v>94</v>
      </c>
      <c r="O28" s="366"/>
      <c r="P28" s="367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33" t="s">
        <v>95</v>
      </c>
      <c r="D29" s="334"/>
      <c r="E29" s="335" t="s">
        <v>88</v>
      </c>
      <c r="F29" s="336"/>
      <c r="G29" s="335" t="s">
        <v>96</v>
      </c>
      <c r="H29" s="340"/>
      <c r="I29" s="336"/>
      <c r="J29" s="76" t="s">
        <v>97</v>
      </c>
      <c r="M29" s="5"/>
      <c r="N29" s="403"/>
      <c r="O29" s="404"/>
      <c r="P29" s="405"/>
      <c r="Q29" s="31" t="s">
        <v>56</v>
      </c>
      <c r="R29" s="406" t="s">
        <v>98</v>
      </c>
      <c r="S29" s="406"/>
      <c r="T29" s="406"/>
      <c r="U29" s="39"/>
      <c r="V29" s="9"/>
    </row>
    <row r="30" spans="2:22">
      <c r="B30" s="25"/>
      <c r="C30" s="333" t="s">
        <v>99</v>
      </c>
      <c r="D30" s="334"/>
      <c r="E30" s="335" t="s">
        <v>88</v>
      </c>
      <c r="F30" s="336"/>
      <c r="G30" s="335" t="s">
        <v>100</v>
      </c>
      <c r="H30" s="340"/>
      <c r="I30" s="336"/>
      <c r="J30" s="76" t="s">
        <v>97</v>
      </c>
      <c r="M30" s="5"/>
      <c r="N30" s="327" t="s">
        <v>101</v>
      </c>
      <c r="O30" s="328"/>
      <c r="P30" s="328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341" t="s">
        <v>104</v>
      </c>
      <c r="D31" s="342"/>
      <c r="E31" s="337" t="s">
        <v>88</v>
      </c>
      <c r="F31" s="339"/>
      <c r="G31" s="337" t="s">
        <v>105</v>
      </c>
      <c r="H31" s="338"/>
      <c r="I31" s="339"/>
      <c r="J31" s="78" t="s">
        <v>106</v>
      </c>
      <c r="M31" s="5"/>
      <c r="N31" s="329"/>
      <c r="O31" s="330"/>
      <c r="P31" s="330"/>
      <c r="Q31" s="43" t="s">
        <v>56</v>
      </c>
      <c r="R31" s="406" t="s">
        <v>107</v>
      </c>
      <c r="S31" s="406"/>
      <c r="T31" s="406"/>
      <c r="U31" s="39"/>
      <c r="V31" s="9"/>
    </row>
    <row r="32" spans="2:22">
      <c r="B32" s="25"/>
      <c r="I32" s="5"/>
      <c r="M32" s="5"/>
      <c r="N32" s="329"/>
      <c r="O32" s="330"/>
      <c r="P32" s="330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329"/>
      <c r="O33" s="330"/>
      <c r="P33" s="330"/>
      <c r="Q33" s="15" t="s">
        <v>56</v>
      </c>
      <c r="R33" s="343" t="s">
        <v>109</v>
      </c>
      <c r="S33" s="343"/>
      <c r="T33" s="343"/>
      <c r="U33" s="40"/>
      <c r="V33" s="9"/>
    </row>
    <row r="34" spans="2:22">
      <c r="B34" s="25"/>
      <c r="G34" s="29"/>
      <c r="H34" s="29"/>
      <c r="M34" s="5"/>
      <c r="N34" s="329"/>
      <c r="O34" s="330"/>
      <c r="P34" s="330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329"/>
      <c r="O35" s="330"/>
      <c r="P35" s="330"/>
      <c r="Q35" s="15" t="s">
        <v>56</v>
      </c>
      <c r="R35" s="343" t="s">
        <v>111</v>
      </c>
      <c r="S35" s="343"/>
      <c r="T35" s="343"/>
      <c r="U35" s="40"/>
      <c r="V35" s="9"/>
    </row>
    <row r="36" spans="2:22">
      <c r="B36" s="25"/>
      <c r="G36" s="29"/>
      <c r="H36" s="29"/>
      <c r="M36" s="5"/>
      <c r="N36" s="329"/>
      <c r="O36" s="330"/>
      <c r="P36" s="330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325"/>
      <c r="D37" s="325"/>
      <c r="F37" s="325"/>
      <c r="G37" s="325"/>
      <c r="H37" s="29"/>
      <c r="I37" s="325"/>
      <c r="J37" s="325"/>
      <c r="M37" s="5"/>
      <c r="N37" s="329"/>
      <c r="O37" s="330"/>
      <c r="P37" s="330"/>
      <c r="Q37" s="15" t="s">
        <v>56</v>
      </c>
      <c r="R37" s="343" t="s">
        <v>113</v>
      </c>
      <c r="S37" s="343"/>
      <c r="T37" s="343"/>
      <c r="U37" s="40"/>
      <c r="V37" s="9"/>
    </row>
    <row r="38" spans="2:22">
      <c r="B38" s="25"/>
      <c r="G38" s="29"/>
      <c r="H38" s="29"/>
      <c r="M38" s="5"/>
      <c r="N38" s="329"/>
      <c r="O38" s="330"/>
      <c r="P38" s="330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325"/>
      <c r="D39" s="325"/>
      <c r="F39" s="325"/>
      <c r="G39" s="325"/>
      <c r="H39" s="29"/>
      <c r="I39" s="325"/>
      <c r="J39" s="325"/>
      <c r="M39" s="5"/>
      <c r="N39" s="331"/>
      <c r="O39" s="332"/>
      <c r="P39" s="332"/>
      <c r="Q39" s="44" t="s">
        <v>56</v>
      </c>
      <c r="R39" s="326" t="s">
        <v>115</v>
      </c>
      <c r="S39" s="326"/>
      <c r="T39" s="326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322" t="s">
        <v>116</v>
      </c>
      <c r="C44" s="323"/>
      <c r="D44" s="323"/>
      <c r="E44" s="323"/>
      <c r="F44" s="323"/>
      <c r="G44" s="323"/>
      <c r="H44" s="323"/>
      <c r="I44" s="323"/>
      <c r="J44" s="323"/>
      <c r="K44" s="323"/>
      <c r="L44" s="323"/>
      <c r="M44" s="323"/>
      <c r="N44" s="323"/>
      <c r="O44" s="323"/>
      <c r="P44" s="323"/>
      <c r="Q44" s="323"/>
      <c r="R44" s="323"/>
      <c r="S44" s="323"/>
      <c r="T44" s="323"/>
      <c r="U44" s="323"/>
      <c r="V44" s="324"/>
    </row>
    <row r="45" spans="2:22" ht="14.1" customHeight="1" thickBot="1">
      <c r="B45" s="319" t="s">
        <v>117</v>
      </c>
      <c r="C45" s="320"/>
      <c r="D45" s="320"/>
      <c r="E45" s="320"/>
      <c r="F45" s="320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1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E25:F25"/>
    <mergeCell ref="G27:I27"/>
    <mergeCell ref="G28:I28"/>
    <mergeCell ref="E26:F26"/>
    <mergeCell ref="E28:F28"/>
    <mergeCell ref="G26:I26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C29:D29"/>
    <mergeCell ref="E29:F29"/>
    <mergeCell ref="C26:D26"/>
    <mergeCell ref="C28:D28"/>
    <mergeCell ref="C27:D27"/>
    <mergeCell ref="E27:F27"/>
    <mergeCell ref="C22:D22"/>
    <mergeCell ref="E22:F22"/>
    <mergeCell ref="C23:D23"/>
    <mergeCell ref="E23:F23"/>
    <mergeCell ref="C24:D24"/>
    <mergeCell ref="E24:F24"/>
    <mergeCell ref="N14:U14"/>
    <mergeCell ref="C14:E14"/>
    <mergeCell ref="D15:E15"/>
    <mergeCell ref="C16:E16"/>
    <mergeCell ref="C17:E17"/>
    <mergeCell ref="F16:G16"/>
    <mergeCell ref="F17:G17"/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Closed End Seconds</vt:lpstr>
      <vt:lpstr>Feed(WS)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2026-06-01T13:47:19Z</cp:lastPrinted>
  <dcterms:created xsi:type="dcterms:W3CDTF">2019-03-27T01:13:56Z</dcterms:created>
  <dcterms:modified xsi:type="dcterms:W3CDTF">2026-06-04T13:43:36Z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{"port":50152,"version":"1.26.718"}</vt:lpwstr>
  </property>
</Properties>
</file>